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Historicals" sheetId="3" state="visible" r:id="rId5"/>
    <sheet name="Inputs" sheetId="4" state="visible" r:id="rId6"/>
    <sheet name="Bear" sheetId="5" state="visible" r:id="rId7"/>
    <sheet name="Base" sheetId="6" state="visible" r:id="rId8"/>
    <sheet name="Bull" sheetId="7" state="visible" r:id="rId9"/>
    <sheet name="Downside" sheetId="8" state="visible" r:id="rId10"/>
    <sheet name="Deal" sheetId="9" state="visible" r:id="rId11"/>
    <sheet name="Change Log"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<sst xmlns="http://schemas.openxmlformats.org/spreadsheetml/2006/main" count="3309" uniqueCount="853">
  <si>
    <t xml:space="preserve">SpaceX x Tesla Merger Model v1.2.2</t>
  </si>
  <si>
    <t xml:space="preserve">Illustrative scenario model of a hypothetical all-stock combination of SpaceX (SPCX) and Tesla (TSLA). Data as of October 26, 2026.</t>
  </si>
  <si>
    <t xml:space="preserve">What this is</t>
  </si>
  <si>
    <t xml:space="preserve">No merger has been agreed or proposed. Both companies have reportedly formed special committees to evaluate a combination. Every deal term here is an assumption.</t>
  </si>
  <si>
    <t xml:space="preserve">The model forecasts each company to 2030 by segment, values each on its own, values the combined company with synergies, and shows how value and control shift.</t>
  </si>
  <si>
    <t xml:space="preserve">How to use it</t>
  </si>
  <si>
    <t xml:space="preserve">1. Change yellow cells on Inputs. 2. Read Summary. 3. The Deal tab has the exchange ratio, ownership, Musk's stake and votes, the Tesla vote math, and a premium-by-synergy grid.</t>
  </si>
  <si>
    <t xml:space="preserve">4. Bear, Base, Bull and Managed downside tabs hold the full forecasts, tax, funding and valuation. Historicals holds the reported figures, with dates and sources.</t>
  </si>
  <si>
    <t xml:space="preserve">Colors: blue = typed input or reported figure; black = formula; green = link; yellow = assumption you can change.</t>
  </si>
  <si>
    <t xml:space="preserve">Method</t>
  </si>
  <si>
    <t xml:space="preserve">Forecast: 2026 = nine months reported plus an assumed Q4. 2027-2030 revenue grows by segment. EBITDA margins (before stock comp) and capex are set as % of segment revenue for 2027 and 2030, straight-line between.</t>
  </si>
  <si>
    <t xml:space="preserve">Stock comp is a separate % of revenue and reduces operating income. Acquisition awards (Cursor, Mesh) are either counted as shares (default) or expensed, by a switch; never both. Share counts come from an award-level reconciliation.</t>
  </si>
  <si>
    <t xml:space="preserve">Depreciation: existing assets run off over a remaining life, plus each year's capex over an asset life by segment (half a year in the year of spend).</t>
  </si>
  <si>
    <t xml:space="preserve">Tax: state tax (deductible for federal) and federal tax on taxable income, with full expensing of eligible equipment, loss carryforwards in pre-2027 and later pools (80% limit), credits, and an optional annual limit on pre-2027 losses. 2026 losses are rolled forward. Each company uses only its own losses. Interest is excluded (enterprise basis).</t>
  </si>
  <si>
    <t xml:space="preserve">Valuation (enterprise basis, as of end 2026), blended 50/50 by default:</t>
  </si>
  <si>
    <t xml:space="preserve">  Profit-multiple method: 2030 after-tax operating profit x exit multiple, discounted, plus discounted 2027-2030 unlevered cash flow.</t>
  </si>
  <si>
    <t xml:space="preserve">  Cash flow method: discounted 2027-2030 unlevered cash flow plus 2030 unlevered cash flow x exit multiple, discounted.</t>
  </si>
  <si>
    <t xml:space="preserve">  The 2030 exit uses a normal tax rate by default, since 2030 cash taxes are held down by losses and expensing. Losses and credits left at 2030 are valued on a post-2030 use schedule (switchable to zero).</t>
  </si>
  <si>
    <t xml:space="preserve">  Value per share = (enterprise value + net cash at end 2026 (+ Tesla's SpaceX stake) - later funding fees + new equity raised) / (shares + new shares issued at a discount). Financing costs enter through the cost-of-capital assumption plus these separately modeled effects.</t>
  </si>
  <si>
    <t xml:space="preserve">Funding: cash and debt are tracked separately, with interest on average balances. Funding is solved so cash ends each year at the minimum, including the interest on the new money. Existing debt is refinanced at maturity unless the refinancing-failure input is used. Above a funding limit the case shows 'unresolved'.</t>
  </si>
  <si>
    <t xml:space="preserve">Combined company = both operations + synergies + intercompany elimination, each with its own capex, depreciation and tax effects, + combined net cash - combined funding costs. Tesla's SpaceX stake is retired. Synergies are also shown in an execution case.</t>
  </si>
  <si>
    <t xml:space="preserve">Validity: if 2030 profit or cash flow is negative, or funding exceeds the limit, no value is shown ('unresolved') and the weighted column shows 'n/a'.</t>
  </si>
  <si>
    <t xml:space="preserve">Tesla Autonomy &amp; Optimus: an attributed value, a full rerun with none of it, and a full rerun with the path scaled until Tesla's value equals its market price (solved by iteration; a check cell shows the gap).</t>
  </si>
  <si>
    <t xml:space="preserve">Who wins: shown on two bases. Market basis: both companies at market prices. Model basis: both at this model's values. They give very different break-even synergy values.</t>
  </si>
  <si>
    <t xml:space="preserve">Key limitations</t>
  </si>
  <si>
    <t xml:space="preserve">Results are most sensitive to 2030 exit multiples and to SpaceX's AI revenue, margin and capex path.</t>
  </si>
  <si>
    <t xml:space="preserve">Musk's holdings come from dated filings (SpaceX May 1, 2026; Tesla Sep 30, 2026) and assume no changes since. Ownership is shown on issued, contingent-excluded, diluted and directed-vote views. Treatment of awards in a merger is unknown.</t>
  </si>
  <si>
    <t xml:space="preserve">Ownership-change limits on SpaceX tax losses are unknown; the limit input is illustrative, not a legal estimate. Asset lives are labeled blends. Working capital defaults to zero. Interest affects liquidity, not value. The synergy delay input is not a closing delay.</t>
  </si>
  <si>
    <t xml:space="preserve">Synergies, dis-synergies and their timing are hypothetical. Market prices may already reflect deal expectations.</t>
  </si>
  <si>
    <t xml:space="preserve">Sources</t>
  </si>
  <si>
    <t xml:space="preserve">SpaceX: Form 10-Q for Q3 2026 (segments, depreciation, stock comp, capex, balance sheet, shares at Oct 15, 2026); IPO prospectus, June 2026 (tax losses and credits, Musk holdings); Q3 2026 results (guidance).</t>
  </si>
  <si>
    <t xml:space="preserve">Tesla: Form 10-Q for Q3 2026 (segments, cash flow, capex outlook, related-party sales, shares at Oct 15, 2026); 2026 proxy statement (Musk holdings, award voting).</t>
  </si>
  <si>
    <t xml:space="preserve">Deal context: public reporting on special committees, October 2026. Prices: Oct 22-23, 2026 closes.</t>
  </si>
  <si>
    <t xml:space="preserve">Disclaimer</t>
  </si>
  <si>
    <t xml:space="preserve">For education and discussion only. Not investment, legal or tax advice, and not an offer or solicitation. Figures are estimates and may contain errors. Do your own work.</t>
  </si>
  <si>
    <t xml:space="preserve">SpaceX x Tesla: what a combined company would be worth, and who wins (v1.2.2)</t>
  </si>
  <si>
    <t xml:space="preserve">Illustrative scenario model. No deal terms have been agreed. $ in billions except per share. Change yellow cells on Inputs. Not investment advice; see Read Me.</t>
  </si>
  <si>
    <t xml:space="preserve">Scenario</t>
  </si>
  <si>
    <t xml:space="preserve">Bear</t>
  </si>
  <si>
    <t xml:space="preserve">Base</t>
  </si>
  <si>
    <t xml:space="preserve">Bull</t>
  </si>
  <si>
    <t xml:space="preserve">Weighted</t>
  </si>
  <si>
    <t xml:space="preserve">Managed downside</t>
  </si>
  <si>
    <t xml:space="preserve">Probability</t>
  </si>
  <si>
    <t xml:space="preserve">Standalone value per share</t>
  </si>
  <si>
    <t xml:space="preserve">SpaceX value per share</t>
  </si>
  <si>
    <t xml:space="preserve">  SpaceX market price</t>
  </si>
  <si>
    <t xml:space="preserve">Tesla value per share</t>
  </si>
  <si>
    <t xml:space="preserve">  Tesla market price</t>
  </si>
  <si>
    <t xml:space="preserve">  Tesla with no Autonomy &amp; Optimus (full-model counterfactual)</t>
  </si>
  <si>
    <t xml:space="preserve">  Tesla Autonomy &amp; Optimus per share (attributed)</t>
  </si>
  <si>
    <t xml:space="preserve">  Autonomy &amp; Optimus revenue in 2030 ($B)</t>
  </si>
  <si>
    <t xml:space="preserve">  2030 A&amp;O revenue at which Tesla value equals the market price ($B, full-model solve)</t>
  </si>
  <si>
    <t xml:space="preserve">    solve check: value less market price ($)</t>
  </si>
  <si>
    <t xml:space="preserve">Method check</t>
  </si>
  <si>
    <t xml:space="preserve">SpaceX per share: profit-multiple / cash flow method</t>
  </si>
  <si>
    <t xml:space="preserve">Tesla per share: profit-multiple / cash flow method</t>
  </si>
  <si>
    <t xml:space="preserve">Combined per share: profit-multiple / cash flow method</t>
  </si>
  <si>
    <t xml:space="preserve">SpaceX exit value share of value (method 1 / method 2)</t>
  </si>
  <si>
    <t xml:space="preserve">Tesla exit value share of value</t>
  </si>
  <si>
    <t xml:space="preserve">Combined exit value share of value</t>
  </si>
  <si>
    <t xml:space="preserve">Above 100% means 2027-2030 cash flow is negative, so the exit value is more than the whole value. The two methods can disagree widely; the blend hides that.</t>
  </si>
  <si>
    <t xml:space="preserve">Combined company</t>
  </si>
  <si>
    <t xml:space="preserve">Combined equity value ($B)</t>
  </si>
  <si>
    <t xml:space="preserve">  of which synergies, after one-time costs ($B)</t>
  </si>
  <si>
    <t xml:space="preserve">Combined value per share</t>
  </si>
  <si>
    <t xml:space="preserve">  Bull case share of the weighted combined value per share</t>
  </si>
  <si>
    <t xml:space="preserve">SpaceX holder gain vs. standalone (model values)</t>
  </si>
  <si>
    <t xml:space="preserve">Tesla holder gain vs. standalone (model values)</t>
  </si>
  <si>
    <t xml:space="preserve">Synergy value SpaceX holders need to break even, model values ($B)</t>
  </si>
  <si>
    <t xml:space="preserve">SpaceX standalone: cumulative new funding to 2030 ($B)</t>
  </si>
  <si>
    <t xml:space="preserve">Combined: cumulative new funding to 2030 ($B)</t>
  </si>
  <si>
    <t xml:space="preserve">Combined: new shares issued for funding (billions)</t>
  </si>
  <si>
    <t xml:space="preserve">SpaceX net cash at end 2030, standalone ($B)</t>
  </si>
  <si>
    <t xml:space="preserve">Combined net cash at end 2030 ($B)</t>
  </si>
  <si>
    <t xml:space="preserve">Combined value per share, synergy execution case (own funding)</t>
  </si>
  <si>
    <t xml:space="preserve">  combined funding to 2030, execution case ($B)</t>
  </si>
  <si>
    <t xml:space="preserve">Deal at market prices</t>
  </si>
  <si>
    <t xml:space="preserve">Value</t>
  </si>
  <si>
    <t xml:space="preserve">Premium to Tesla holders</t>
  </si>
  <si>
    <t xml:space="preserve">Exchange ratio (fixed)</t>
  </si>
  <si>
    <t xml:space="preserve">Offer value per Tesla share ($)</t>
  </si>
  <si>
    <t xml:space="preserve">Former Tesla holders' ownership</t>
  </si>
  <si>
    <t xml:space="preserve">Premium at market prices ($B)</t>
  </si>
  <si>
    <t xml:space="preserve">SpaceX holders' value change with no synergies ($B)</t>
  </si>
  <si>
    <t xml:space="preserve">Synergy value SpaceX holders need to break even, market basis ($B)</t>
  </si>
  <si>
    <t xml:space="preserve">Base-case synergy value ($B)</t>
  </si>
  <si>
    <t xml:space="preserve">Base synergies cover it?</t>
  </si>
  <si>
    <t xml:space="preserve">Musk economic stake, issued shares: before / after</t>
  </si>
  <si>
    <t xml:space="preserve">Musk economic stake, excluding contingent awards: before / after</t>
  </si>
  <si>
    <t xml:space="preserve">Votes Musk directs: before / after</t>
  </si>
  <si>
    <t xml:space="preserve">  effective share of directed votes after the deal</t>
  </si>
  <si>
    <t xml:space="preserve">Yes votes needed from other Tesla shares (% of all other shares)</t>
  </si>
  <si>
    <t xml:space="preserve">  same, as % of other shares that vote (at the assumed turnout)</t>
  </si>
  <si>
    <t xml:space="preserve">If the deal triggers Tesla's change-in-control terms: 2025-award shares earned / premium needed for the first tranche (conditional)</t>
  </si>
  <si>
    <t xml:space="preserve">Checks</t>
  </si>
  <si>
    <t xml:space="preserve">SpaceX 2027 revenue, Base: Q1 guide midpoint vs. implied average of Q2-Q4 ($B)</t>
  </si>
  <si>
    <t xml:space="preserve">Results depend most on 2030 exit multiples and on SpaceX's AI revenue, margin and capex path. Market prices may already reflect deal expectations.</t>
  </si>
  <si>
    <t xml:space="preserve">Historical data ($ billions; shares in billions)</t>
  </si>
  <si>
    <t xml:space="preserve">Sources: SpaceX Form 10-Q (Q3 2026) and IPO prospectus (June 2026); Tesla Form 10-Q (Q3 2026) and 2026 proxy statement. Blue = reported. Black = formula.</t>
  </si>
  <si>
    <t xml:space="preserve">SpaceX by segment (reported)</t>
  </si>
  <si>
    <t xml:space="preserve">Q3 2026</t>
  </si>
  <si>
    <t xml:space="preserve">9M 2026</t>
  </si>
  <si>
    <t xml:space="preserve">H1 2026 (derived)</t>
  </si>
  <si>
    <t xml:space="preserve">Note</t>
  </si>
  <si>
    <t xml:space="preserve">Revenue: Connectivity</t>
  </si>
  <si>
    <t xml:space="preserve">Revenue: SI (AI, X, Cursor, compute cloud)</t>
  </si>
  <si>
    <t xml:space="preserve">Revenue: Space</t>
  </si>
  <si>
    <t xml:space="preserve">Total revenue</t>
  </si>
  <si>
    <t xml:space="preserve">Operating income: Connectivity</t>
  </si>
  <si>
    <t xml:space="preserve">Operating income: SI</t>
  </si>
  <si>
    <t xml:space="preserve">Operating income: Space</t>
  </si>
  <si>
    <t xml:space="preserve">Operating income (reported total)</t>
  </si>
  <si>
    <t xml:space="preserve">Reported: Q3 $2.791B; nine months $0.705B</t>
  </si>
  <si>
    <t xml:space="preserve">Depreciation &amp; amortization: Connectivity</t>
  </si>
  <si>
    <t xml:space="preserve">Depreciation &amp; amortization: SI</t>
  </si>
  <si>
    <t xml:space="preserve">Depreciation &amp; amortization: Space</t>
  </si>
  <si>
    <t xml:space="preserve">Depreciation &amp; amortization: total</t>
  </si>
  <si>
    <t xml:space="preserve">Stock comp, regular (all segments)</t>
  </si>
  <si>
    <t xml:space="preserve">Stock comp tied to acquisitions (SI; Cursor and Mesh)</t>
  </si>
  <si>
    <t xml:space="preserve">Treated as share dilution (awards are counted in diluted shares), not as an operating cost</t>
  </si>
  <si>
    <t xml:space="preserve">Capital spending: Connectivity</t>
  </si>
  <si>
    <t xml:space="preserve">Capital spending: SI</t>
  </si>
  <si>
    <t xml:space="preserve">Capital spending: Space</t>
  </si>
  <si>
    <t xml:space="preserve">Capital spending: total</t>
  </si>
  <si>
    <t xml:space="preserve">Check: nine-month operating income less reported $0.705B (should be 0)</t>
  </si>
  <si>
    <t xml:space="preserve">Operating cash flow, nine months</t>
  </si>
  <si>
    <t xml:space="preserve">  Operating income + D&amp;A + all stock comp (nine months)</t>
  </si>
  <si>
    <t xml:space="preserve">  Other items (working capital, interest, tax, other)</t>
  </si>
  <si>
    <t xml:space="preserve">Interest expense / interest income, nine months</t>
  </si>
  <si>
    <t xml:space="preserve">B = expense, C = income</t>
  </si>
  <si>
    <t xml:space="preserve">SpaceX annual (prospectus)</t>
  </si>
  <si>
    <t xml:space="preserve">FY2024</t>
  </si>
  <si>
    <t xml:space="preserve">FY2025</t>
  </si>
  <si>
    <t xml:space="preserve">Connectivity revenue</t>
  </si>
  <si>
    <t xml:space="preserve">Space revenue</t>
  </si>
  <si>
    <t xml:space="preserve">AI revenue</t>
  </si>
  <si>
    <t xml:space="preserve">Capital spending</t>
  </si>
  <si>
    <t xml:space="preserve">SpaceX balance sheet, shares, tax</t>
  </si>
  <si>
    <t xml:space="preserve">Cash and cash equivalents (Sep 30, 2026)</t>
  </si>
  <si>
    <t xml:space="preserve">Marketable securities (Sep 30, 2026)</t>
  </si>
  <si>
    <t xml:space="preserve">Debt and finance leases (Sep 30, 2026)</t>
  </si>
  <si>
    <t xml:space="preserve">Current $2.698B + non-current $36.146B. Includes $12.897B of failed sale-leaseback financing; no separate deduction</t>
  </si>
  <si>
    <t xml:space="preserve">Class A shares outstanding (Oct 15, 2026)</t>
  </si>
  <si>
    <t xml:space="preserve">10-Q cover</t>
  </si>
  <si>
    <t xml:space="preserve">Class B shares outstanding (Oct 15, 2026; 10 votes each)</t>
  </si>
  <si>
    <t xml:space="preserve">Memo: Q3 diluted less basic weighted shares</t>
  </si>
  <si>
    <t xml:space="preserve">Weighted average for EPS; not a point-in-time inventory</t>
  </si>
  <si>
    <t xml:space="preserve">Memo: performance-contingent awards outstanding (in issued count)</t>
  </si>
  <si>
    <t xml:space="preserve">10-Q: excluded from diluted EPS; mostly Musk's restricted Class B</t>
  </si>
  <si>
    <t xml:space="preserve">Share price ($, Oct 23, 2026 close)</t>
  </si>
  <si>
    <t xml:space="preserve">Q4 2026 capex guidance, midpoint</t>
  </si>
  <si>
    <t xml:space="preserve">Guidance $35B-$40B</t>
  </si>
  <si>
    <t xml:space="preserve">Q1 2027 revenue guidance, midpoint</t>
  </si>
  <si>
    <t xml:space="preserve">Guidance $33B-$37B</t>
  </si>
  <si>
    <t xml:space="preserve">Federal tax loss carryforwards (Dec 31, 2025)</t>
  </si>
  <si>
    <t xml:space="preserve">Prospectus. 2026 movement not modeled</t>
  </si>
  <si>
    <t xml:space="preserve">State tax loss carryforwards (Dec 31, 2025)</t>
  </si>
  <si>
    <t xml:space="preserve">Federal tax credits (Dec 31, 2025)</t>
  </si>
  <si>
    <t xml:space="preserve">Mostly R&amp;D credits</t>
  </si>
  <si>
    <t xml:space="preserve">State tax credits (Dec 31, 2025)</t>
  </si>
  <si>
    <t xml:space="preserve">Not modeled (state credit use rules vary)</t>
  </si>
  <si>
    <t xml:space="preserve">Shares outstanding, total (Oct 15, 2026)</t>
  </si>
  <si>
    <t xml:space="preserve">Net cash (cash + securities - debt)</t>
  </si>
  <si>
    <t xml:space="preserve">SpaceX award reconciliation (point-in-time estimate)</t>
  </si>
  <si>
    <t xml:space="preserve">Shares</t>
  </si>
  <si>
    <t xml:space="preserve">Exercise $</t>
  </si>
  <si>
    <t xml:space="preserve">Dilutive (treasury method)</t>
  </si>
  <si>
    <t xml:space="preserve">Source</t>
  </si>
  <si>
    <t xml:space="preserve">Options, Class A, outstanding Sep 30, 2026</t>
  </si>
  <si>
    <t xml:space="preserve">10-Q reserve table. Exercise price is a blend: plan options at the prospectus average, acquisition options at $1.49 (assumes they are in the table)</t>
  </si>
  <si>
    <t xml:space="preserve">Options, Class B (Musk), outstanding Sep 30, 2026</t>
  </si>
  <si>
    <t xml:space="preserve">10-Q reserve table. Exercise price: prospectus Class B average (assumption)</t>
  </si>
  <si>
    <t xml:space="preserve">RSUs outstanding Sep 30, 2026</t>
  </si>
  <si>
    <t xml:space="preserve">10-Q reserve table</t>
  </si>
  <si>
    <t xml:space="preserve">Award-level dilution at the reference price</t>
  </si>
  <si>
    <t xml:space="preserve">  Acquisition options (Cursor, Mesh), assumed inside the table</t>
  </si>
  <si>
    <t xml:space="preserve">10-Q grant disclosure</t>
  </si>
  <si>
    <t xml:space="preserve">  Acquisition RSUs, assumed inside the table</t>
  </si>
  <si>
    <t xml:space="preserve">  Acquisition restricted stock (in the issued count, not the table)</t>
  </si>
  <si>
    <t xml:space="preserve">10-Q</t>
  </si>
  <si>
    <t xml:space="preserve">  of which acquisition awards (options + RSUs)</t>
  </si>
  <si>
    <t xml:space="preserve">  vs. Q3 EPS dilution (weighted average; difference)</t>
  </si>
  <si>
    <t xml:space="preserve">Mapping: prospectus (Mar 31) + acquisitions vs. Sep 30 table</t>
  </si>
  <si>
    <t xml:space="preserve">Mapped</t>
  </si>
  <si>
    <t xml:space="preserve">Sep 30 table</t>
  </si>
  <si>
    <t xml:space="preserve">Residual</t>
  </si>
  <si>
    <t xml:space="preserve">Explanation</t>
  </si>
  <si>
    <t xml:space="preserve">Class A options</t>
  </si>
  <si>
    <t xml:space="preserve">Unreconciled residual (possibly exercises, net settlements or forfeitures after Mar 31; not disclosed)</t>
  </si>
  <si>
    <t xml:space="preserve">Class B options</t>
  </si>
  <si>
    <t xml:space="preserve">Unreconciled residual (not disclosed)</t>
  </si>
  <si>
    <t xml:space="preserve">RSUs</t>
  </si>
  <si>
    <t xml:space="preserve">Unreconciled residual (possibly settlements or forfeitures; not disclosed)</t>
  </si>
  <si>
    <t xml:space="preserve">Acquisition stock comp still to expense ($B; Q4 2026 / 2027 / 2028 / 2029)</t>
  </si>
  <si>
    <t xml:space="preserve">Derived: grant values $26.7B less $1.2B recognized, over 2.8 years</t>
  </si>
  <si>
    <t xml:space="preserve">Gaps: plan grants, forfeitures and exercises after the prospectus dates are not disclosed.</t>
  </si>
  <si>
    <t xml:space="preserve">Tesla (reported)</t>
  </si>
  <si>
    <t xml:space="preserve">Operating income</t>
  </si>
  <si>
    <t xml:space="preserve">Automotive (sales, credits, leasing)</t>
  </si>
  <si>
    <t xml:space="preserve">FSD revenue sits here</t>
  </si>
  <si>
    <t xml:space="preserve">Energy generation and storage</t>
  </si>
  <si>
    <t xml:space="preserve">Services and other</t>
  </si>
  <si>
    <t xml:space="preserve">Depreciation, amortization and impairment</t>
  </si>
  <si>
    <t xml:space="preserve">Stock comp</t>
  </si>
  <si>
    <t xml:space="preserve">Operating cash flow</t>
  </si>
  <si>
    <t xml:space="preserve">Megapack revenue from SpaceX</t>
  </si>
  <si>
    <t xml:space="preserve">Related-party sales</t>
  </si>
  <si>
    <t xml:space="preserve">Cost of Megapacks sold to SpaceX</t>
  </si>
  <si>
    <t xml:space="preserve">Check: segments less total, nine months (should be 0)</t>
  </si>
  <si>
    <t xml:space="preserve">Margin on Megapack sales to SpaceX, nine months</t>
  </si>
  <si>
    <t xml:space="preserve">Operating cash flow less (operating income + D&amp;A + stock comp), nine months</t>
  </si>
  <si>
    <t xml:space="preserve">Tesla balance sheet, shares</t>
  </si>
  <si>
    <t xml:space="preserve">Cash and short-term investments (Sep 30, 2026)</t>
  </si>
  <si>
    <t xml:space="preserve">Shares outstanding (Oct 15, 2026)</t>
  </si>
  <si>
    <t xml:space="preserve">10-Q cover. Includes Musk's restricted and unearned award shares</t>
  </si>
  <si>
    <t xml:space="preserve">Q3 2025 diluted less basic shares</t>
  </si>
  <si>
    <t xml:space="preserve">10-Q. Then included Musk's 304M 2018-award options (exercise price $23.34)</t>
  </si>
  <si>
    <t xml:space="preserve">Q3 2026 diluted less basic shares</t>
  </si>
  <si>
    <t xml:space="preserve">10-Q. Those options became 286.4M issued restricted shares (service condition) in Q2 2026</t>
  </si>
  <si>
    <t xml:space="preserve">  assumed overlap: 2018-award restricted shares</t>
  </si>
  <si>
    <t xml:space="preserve">Assumed inside the 301M, supported by 2025-2026 continuity; the filing does not give the composition</t>
  </si>
  <si>
    <t xml:space="preserve">Other dilutive awards (estimate)</t>
  </si>
  <si>
    <t xml:space="preserve">Estimate. Assumed overlap, supported by continuity (2025: ~285M from the 2018 options + ~15M; 2026: 286M + ~15M), not proof of composition. Sensitivity: 301M if no overlap</t>
  </si>
  <si>
    <t xml:space="preserve">Share price ($, Oct 22, 2026 close)</t>
  </si>
  <si>
    <t xml:space="preserve">SpaceX stake, fair value (Sep 30, 2026)</t>
  </si>
  <si>
    <t xml:space="preserve">Cost $2.002B, March 2026. Share count not disclosed</t>
  </si>
  <si>
    <t xml:space="preserve">2026 capex guidance</t>
  </si>
  <si>
    <t xml:space="preserve">"In excess of $20 billion" per the 10-Q, so this is a floor</t>
  </si>
  <si>
    <t xml:space="preserve">Net cash</t>
  </si>
  <si>
    <t xml:space="preserve">Musk holdings (dated, from filings)</t>
  </si>
  <si>
    <t xml:space="preserve">SpaceX Class A held</t>
  </si>
  <si>
    <t xml:space="preserve">Prospectus, as of May 1, 2026. Assumes no change since</t>
  </si>
  <si>
    <t xml:space="preserve">SpaceX Class B held (issued)</t>
  </si>
  <si>
    <t xml:space="preserve">5.569B beneficially owned less 0.35B options exercisable</t>
  </si>
  <si>
    <t xml:space="preserve">  of which restricted, performance-vesting (votes)</t>
  </si>
  <si>
    <t xml:space="preserve">May be voted by Musk; vesting subject to conditions</t>
  </si>
  <si>
    <t xml:space="preserve">SpaceX Class B options (not counted in votes)</t>
  </si>
  <si>
    <t xml:space="preserve">Exercisable within 60 days of May 1, 2026</t>
  </si>
  <si>
    <t xml:space="preserve">Tesla shares held by Musk trust</t>
  </si>
  <si>
    <t xml:space="preserve">2026 proxy, as of Sep 30, 2026</t>
  </si>
  <si>
    <t xml:space="preserve">Tesla restricted shares from 2018 award (votes)</t>
  </si>
  <si>
    <t xml:space="preserve">Service-based forfeiture condition; carry voting rights</t>
  </si>
  <si>
    <t xml:space="preserve">Tesla unearned 2025 award shares</t>
  </si>
  <si>
    <t xml:space="preserve">Issued and outstanding; voted in proportion to other votes until earned</t>
  </si>
  <si>
    <t xml:space="preserve">  vesting offset per share ($)</t>
  </si>
  <si>
    <t xml:space="preserve">Vested shares are reduced by $334.09 each unless Musk pays cash</t>
  </si>
  <si>
    <t xml:space="preserve">  shares per tranche (12 tranches)</t>
  </si>
  <si>
    <t xml:space="preserve">Market value milestones $2.0T, $2.5T, $3.0T ... $8.5T</t>
  </si>
  <si>
    <t xml:space="preserve">  first market value milestone ($T)</t>
  </si>
  <si>
    <t xml:space="preserve">Change in control: earned only on market value = shares outstanding just before closing x the greater of the last closing price and the deal price per share (award terms); the rest are forfeited</t>
  </si>
  <si>
    <t xml:space="preserve">Check: Musk Tesla beneficial % (proxy says 19.8%; excludes unearned shares from both sides)</t>
  </si>
  <si>
    <t xml:space="preserve">Assumptions</t>
  </si>
  <si>
    <t xml:space="preserve">Blue = input. Yellow = assumption you can change. Green = link. $ in billions. Input checks at the bottom.</t>
  </si>
  <si>
    <t xml:space="preserve">Shared settings</t>
  </si>
  <si>
    <t xml:space="preserve">VALUATION</t>
  </si>
  <si>
    <t xml:space="preserve">Cost of capital (discount rate for unlevered cash flows)</t>
  </si>
  <si>
    <t xml:space="preserve">Enterprise convention: unlevered cash flows and exit multiples of unlevered profit, then add net cash</t>
  </si>
  <si>
    <t xml:space="preserve">Weight on the profit-multiple method (rest on the cash flow method)</t>
  </si>
  <si>
    <t xml:space="preserve">Exit tax basis: 1 = normal statutory rate, 0 = 2030 cash tax rate</t>
  </si>
  <si>
    <t xml:space="preserve">2030 cash taxes are held down by loss carryforwards and full expensing of equipment</t>
  </si>
  <si>
    <t xml:space="preserve">Combined-company valuation adjustment (% of operating value)</t>
  </si>
  <si>
    <t xml:space="preserve">Negative = discount for complexity or governance. Applied to operating value only</t>
  </si>
  <si>
    <t xml:space="preserve">DEAL</t>
  </si>
  <si>
    <t xml:space="preserve">Premium paid to Tesla holders</t>
  </si>
  <si>
    <t xml:space="preserve">Fixed exchange ratio set at the reference prices below</t>
  </si>
  <si>
    <t xml:space="preserve">SpaceX reference share price ($)</t>
  </si>
  <si>
    <t xml:space="preserve">Link</t>
  </si>
  <si>
    <t xml:space="preserve">Tesla reference share price ($)</t>
  </si>
  <si>
    <t xml:space="preserve">Acquisition stock comp: 1 = count awards as shares, 0 = expense them</t>
  </si>
  <si>
    <t xml:space="preserve">Either way, not both</t>
  </si>
  <si>
    <t xml:space="preserve">SpaceX dilutive securities (billions of shares)</t>
  </si>
  <si>
    <t xml:space="preserve">Award-level estimate; excludes acquisition awards if expensed</t>
  </si>
  <si>
    <t xml:space="preserve">SpaceX issued shares removed if acquisition awards are expensed</t>
  </si>
  <si>
    <t xml:space="preserve">Acquisition restricted stock</t>
  </si>
  <si>
    <t xml:space="preserve">Tesla dilutive securities (billions of shares)</t>
  </si>
  <si>
    <t xml:space="preserve">Link; converted at the exchange ratio</t>
  </si>
  <si>
    <t xml:space="preserve">SpaceX shares held by Tesla (billions; estimate, frozen)</t>
  </si>
  <si>
    <t xml:space="preserve">Fair value $2.865B / ~$147.5. Retired in the deal</t>
  </si>
  <si>
    <t xml:space="preserve">Tesla approval threshold (share of all outstanding shares)</t>
  </si>
  <si>
    <t xml:space="preserve">Turnout of other Tesla shares</t>
  </si>
  <si>
    <t xml:space="preserve">Shares that don't vote count as no</t>
  </si>
  <si>
    <t xml:space="preserve">Also require a majority of other Tesla shares voting? (1 = yes)</t>
  </si>
  <si>
    <t xml:space="preserve">Not announced; illustrative toggle</t>
  </si>
  <si>
    <t xml:space="preserve">SYNERGIES</t>
  </si>
  <si>
    <t xml:space="preserve">One-time deal and integration costs ($B, paid 2027)</t>
  </si>
  <si>
    <t xml:space="preserve">One-time integration capex ($B, half in 2027, half in 2028)</t>
  </si>
  <si>
    <t xml:space="preserve">Neutral default; judgment item</t>
  </si>
  <si>
    <t xml:space="preserve">Delay in synergy realization (years; the deal still closes end 2026)</t>
  </si>
  <si>
    <t xml:space="preserve">Not a closing-delay case: cash is pooled at end 2026</t>
  </si>
  <si>
    <t xml:space="preserve">Share of synergy benefits realized</t>
  </si>
  <si>
    <t xml:space="preserve">Applies to benefits only, not to costs</t>
  </si>
  <si>
    <t xml:space="preserve">Execution case: dis-synergies at run-rate ($B/yr)</t>
  </si>
  <si>
    <t xml:space="preserve">Shown alongside, not in the headline</t>
  </si>
  <si>
    <t xml:space="preserve">Execution case: share of benefits realized</t>
  </si>
  <si>
    <t xml:space="preserve">Execution case: integration capex ($B, half 2027, half 2028)</t>
  </si>
  <si>
    <t xml:space="preserve">Exit multiple on 2030 after-tax synergy profit</t>
  </si>
  <si>
    <t xml:space="preserve">Below either company's own multiple</t>
  </si>
  <si>
    <t xml:space="preserve">Exit multiple on 2030 synergy cash flow</t>
  </si>
  <si>
    <t xml:space="preserve">TAX (enterprise basis: no interest deductions)</t>
  </si>
  <si>
    <t xml:space="preserve">Federal tax rate</t>
  </si>
  <si>
    <t xml:space="preserve">State tax rate (effective, after apportionment); deductible for federal</t>
  </si>
  <si>
    <t xml:space="preserve">Assumption</t>
  </si>
  <si>
    <t xml:space="preserve">Loss carryforward use limit (% of taxable income)</t>
  </si>
  <si>
    <t xml:space="preserve">Federal 80% limit</t>
  </si>
  <si>
    <t xml:space="preserve">Annual limit on SpaceX pre-2027 losses ($B of income; 999 = none)</t>
  </si>
  <si>
    <t xml:space="preserve">Not a legal estimate. Illustrative constrained case: 5. Credits get the unused limit x federal rate</t>
  </si>
  <si>
    <t xml:space="preserve">SpaceX share of capex fully expensed for tax (100% bonus)</t>
  </si>
  <si>
    <t xml:space="preserve">Equipment qualifies; buildings do not. Assumption</t>
  </si>
  <si>
    <t xml:space="preserve">Tesla share of capex fully expensed for tax</t>
  </si>
  <si>
    <t xml:space="preserve">Tesla tax loss carryforwards ($B)</t>
  </si>
  <si>
    <t xml:space="preserve">Not sourced; set to zero</t>
  </si>
  <si>
    <t xml:space="preserve">SpaceX Q4 2026 cash tax rate</t>
  </si>
  <si>
    <t xml:space="preserve">Tesla Q4 2026 cash tax rate</t>
  </si>
  <si>
    <t xml:space="preserve">Value tax losses and credits left at 2030? (1 = yes, 0 = zero value)</t>
  </si>
  <si>
    <t xml:space="preserve">Used after 2030 against 2030 taxable income held flat</t>
  </si>
  <si>
    <t xml:space="preserve">Years left to use federal credits after 2030</t>
  </si>
  <si>
    <t xml:space="preserve">Credits begin to expire in 2036</t>
  </si>
  <si>
    <t xml:space="preserve">Years left to use state losses after 2030</t>
  </si>
  <si>
    <t xml:space="preserve">State losses expire from 2027; assumption</t>
  </si>
  <si>
    <t xml:space="preserve">DEPRECIATION (book; existing assets + capex by year)</t>
  </si>
  <si>
    <t xml:space="preserve">Asset life: Connectivity (years)</t>
  </si>
  <si>
    <t xml:space="preserve">Satellites and ground</t>
  </si>
  <si>
    <t xml:space="preserve">Asset life: SI (years)</t>
  </si>
  <si>
    <t xml:space="preserve">Blend of ~5-6 yr compute and longer-lived buildings and power</t>
  </si>
  <si>
    <t xml:space="preserve">Asset life: Space (years)</t>
  </si>
  <si>
    <t xml:space="preserve">Asset life: Tesla (years)</t>
  </si>
  <si>
    <t xml:space="preserve">Existing depreciation run-rate: Connectivity ($B/yr)</t>
  </si>
  <si>
    <t xml:space="preserve">Q3 2026 x 4</t>
  </si>
  <si>
    <t xml:space="preserve">Existing depreciation run-rate: SI ($B/yr)</t>
  </si>
  <si>
    <t xml:space="preserve">Existing depreciation run-rate: Space ($B/yr)</t>
  </si>
  <si>
    <t xml:space="preserve">Existing depreciation run-rate: Tesla ($B/yr)</t>
  </si>
  <si>
    <t xml:space="preserve">Nine months / 3 x 4</t>
  </si>
  <si>
    <t xml:space="preserve">Existing assets, remaining life: Connectivity (years)</t>
  </si>
  <si>
    <t xml:space="preserve">Existing depreciation runs off straight-line</t>
  </si>
  <si>
    <t xml:space="preserve">Existing assets, remaining life: SI (years)</t>
  </si>
  <si>
    <t xml:space="preserve">Existing assets, remaining life: Space (years)</t>
  </si>
  <si>
    <t xml:space="preserve">Existing assets, remaining life: Tesla (years)</t>
  </si>
  <si>
    <t xml:space="preserve">Tesla 2026 full-year capex ($B)</t>
  </si>
  <si>
    <t xml:space="preserve">Floor of guidance; raise to test higher spending</t>
  </si>
  <si>
    <t xml:space="preserve">LIQUIDITY AND FUNDING</t>
  </si>
  <si>
    <t xml:space="preserve">Interest earned on cash</t>
  </si>
  <si>
    <t xml:space="preserve">Interest rate on debt (existing and new)</t>
  </si>
  <si>
    <t xml:space="preserve">Interest on average balances; funding solved including that interest</t>
  </si>
  <si>
    <t xml:space="preserve">SpaceX existing debt repaid in 2027 instead of refinanced ($B)</t>
  </si>
  <si>
    <t xml:space="preserve">Refinancing-failure test (current portion $2.7B). Otherwise refinanced at maturity</t>
  </si>
  <si>
    <t xml:space="preserve">Tesla existing debt repaid in 2027 instead of refinanced ($B)</t>
  </si>
  <si>
    <t xml:space="preserve">Refinancing-failure test</t>
  </si>
  <si>
    <t xml:space="preserve">SpaceX working capital investment (% of revenue increase)</t>
  </si>
  <si>
    <t xml:space="preserve">Deferred revenue has been a source of cash</t>
  </si>
  <si>
    <t xml:space="preserve">Tesla working capital investment (% of revenue increase)</t>
  </si>
  <si>
    <t xml:space="preserve">Minimum operating cash: SpaceX ($B)</t>
  </si>
  <si>
    <t xml:space="preserve">Minimum operating cash: Tesla ($B)</t>
  </si>
  <si>
    <t xml:space="preserve">Minimum operating cash: combined ($B)</t>
  </si>
  <si>
    <t xml:space="preserve">Share of new funding raised as debt (rest equity)</t>
  </si>
  <si>
    <t xml:space="preserve">Funding fees (% of gross amount raised)</t>
  </si>
  <si>
    <t xml:space="preserve">Discount on new equity issued (to value per share before the raise)</t>
  </si>
  <si>
    <t xml:space="preserve">New shares counted explicitly</t>
  </si>
  <si>
    <t xml:space="preserve">Funding limit: SpaceX (cumulative gross, $B)</t>
  </si>
  <si>
    <t xml:space="preserve">Above this the case is unresolved</t>
  </si>
  <si>
    <t xml:space="preserve">Funding limit: Tesla</t>
  </si>
  <si>
    <t xml:space="preserve">Funding limit: combined</t>
  </si>
  <si>
    <t xml:space="preserve">INTERCOMPANY (eliminated when combined)</t>
  </si>
  <si>
    <t xml:space="preserve">Tesla Megapack sales to SpaceX per year, 2027-2030 ($B)</t>
  </si>
  <si>
    <t xml:space="preserve">Nine months 2026: $0.626B. Exists without a merger; no synergy credit</t>
  </si>
  <si>
    <t xml:space="preserve">Margin on those sales</t>
  </si>
  <si>
    <t xml:space="preserve">Probability check tolerance</t>
  </si>
  <si>
    <t xml:space="preserve">Normal combined tax rate (federal + state x (1 - federal))</t>
  </si>
  <si>
    <t xml:space="preserve">Year-based settings</t>
  </si>
  <si>
    <t xml:space="preserve">2026</t>
  </si>
  <si>
    <t xml:space="preserve">2027</t>
  </si>
  <si>
    <t xml:space="preserve">2028</t>
  </si>
  <si>
    <t xml:space="preserve">2029</t>
  </si>
  <si>
    <t xml:space="preserve">2030</t>
  </si>
  <si>
    <t xml:space="preserve">Synergy realization ramp, years after closing (share of run-rate)</t>
  </si>
  <si>
    <t xml:space="preserve">Shifted right by the delay input</t>
  </si>
  <si>
    <t xml:space="preserve">Scenario levers</t>
  </si>
  <si>
    <t xml:space="preserve">Why</t>
  </si>
  <si>
    <t xml:space="preserve">Managed downside = Bear with capex cut and lower exit multiples (less capacity, slower growth after 2030). Not in the probability weights.</t>
  </si>
  <si>
    <t xml:space="preserve">SpaceX</t>
  </si>
  <si>
    <t xml:space="preserve">Q4 2026 Connectivity revenue</t>
  </si>
  <si>
    <t xml:space="preserve">Q3 actual $5.25B</t>
  </si>
  <si>
    <t xml:space="preserve">Q4 2026 SI revenue</t>
  </si>
  <si>
    <t xml:space="preserve">Q3 actual $7.56B</t>
  </si>
  <si>
    <t xml:space="preserve">Q4 2026 Space revenue</t>
  </si>
  <si>
    <t xml:space="preserve">Q3 actual $1.77B</t>
  </si>
  <si>
    <t xml:space="preserve">Q4 2026 operating margin (after regular stock comp)</t>
  </si>
  <si>
    <t xml:space="preserve">Q3: 19.1% reported; 27.5% excluding acquisition stock comp</t>
  </si>
  <si>
    <t xml:space="preserve">Q4 2026 capex</t>
  </si>
  <si>
    <t xml:space="preserve">Guidance $35B-$40B. Split by segment on Q3 mix</t>
  </si>
  <si>
    <t xml:space="preserve">Connectivity revenue growth 2027</t>
  </si>
  <si>
    <t xml:space="preserve">Connectivity revenue growth 2028</t>
  </si>
  <si>
    <t xml:space="preserve">Connectivity revenue growth 2029</t>
  </si>
  <si>
    <t xml:space="preserve">Connectivity revenue growth 2030</t>
  </si>
  <si>
    <t xml:space="preserve">SI revenue growth 2027</t>
  </si>
  <si>
    <t xml:space="preserve">Q1 2027 guide $33-37B total</t>
  </si>
  <si>
    <t xml:space="preserve">SI revenue growth 2028</t>
  </si>
  <si>
    <t xml:space="preserve">SI revenue growth 2029</t>
  </si>
  <si>
    <t xml:space="preserve">SI revenue growth 2030</t>
  </si>
  <si>
    <t xml:space="preserve">Space revenue growth 2027</t>
  </si>
  <si>
    <t xml:space="preserve">Space revenue growth 2028</t>
  </si>
  <si>
    <t xml:space="preserve">Space revenue growth 2029</t>
  </si>
  <si>
    <t xml:space="preserve">Space revenue growth 2030</t>
  </si>
  <si>
    <t xml:space="preserve">Connectivity EBITDA margin before stock comp 2027</t>
  </si>
  <si>
    <t xml:space="preserve">Q3 2026: ~66%. 2028-29 interpolate</t>
  </si>
  <si>
    <t xml:space="preserve">Connectivity EBITDA margin before stock comp 2030</t>
  </si>
  <si>
    <t xml:space="preserve">SI EBITDA margin before stock comp 2027</t>
  </si>
  <si>
    <t xml:space="preserve">Q3 2026: 49% after acquisition stock comp; 65% excluding it (the model treats it as dilution)</t>
  </si>
  <si>
    <t xml:space="preserve">SI EBITDA margin before stock comp 2030</t>
  </si>
  <si>
    <t xml:space="preserve">Space EBITDA margin before stock comp 2027</t>
  </si>
  <si>
    <t xml:space="preserve">Q3 2026: ~20%</t>
  </si>
  <si>
    <t xml:space="preserve">Space EBITDA margin before stock comp 2030</t>
  </si>
  <si>
    <t xml:space="preserve">SpaceX regular stock comp, % of revenue</t>
  </si>
  <si>
    <t xml:space="preserve">Q3 2026: 7.9%; nine months 9.7%</t>
  </si>
  <si>
    <t xml:space="preserve">Connectivity capex % of revenue 2027</t>
  </si>
  <si>
    <t xml:space="preserve">Q3 2026: 29%</t>
  </si>
  <si>
    <t xml:space="preserve">Connectivity capex % of revenue 2030</t>
  </si>
  <si>
    <t xml:space="preserve">SI capex % of revenue 2027</t>
  </si>
  <si>
    <t xml:space="preserve">Q3 2026: 218%</t>
  </si>
  <si>
    <t xml:space="preserve">SI capex % of revenue 2030</t>
  </si>
  <si>
    <t xml:space="preserve">Space capex % of revenue 2027</t>
  </si>
  <si>
    <t xml:space="preserve">Q3 2026: 91%</t>
  </si>
  <si>
    <t xml:space="preserve">Space capex % of revenue 2030</t>
  </si>
  <si>
    <t xml:space="preserve">SpaceX exit multiple of 2030 after-tax operating profit</t>
  </si>
  <si>
    <t xml:space="preserve">Enterprise value / unlevered after-tax profit</t>
  </si>
  <si>
    <t xml:space="preserve">SpaceX exit multiple of 2030 unlevered cash flow</t>
  </si>
  <si>
    <t xml:space="preserve">Tesla</t>
  </si>
  <si>
    <t xml:space="preserve">Q4 2026 Automotive revenue</t>
  </si>
  <si>
    <t xml:space="preserve">Q3 actual $20.56B</t>
  </si>
  <si>
    <t xml:space="preserve">Q4 2026 Energy revenue</t>
  </si>
  <si>
    <t xml:space="preserve">Q3 actual $2.88B</t>
  </si>
  <si>
    <t xml:space="preserve">Q4 2026 Services revenue</t>
  </si>
  <si>
    <t xml:space="preserve">Q3 actual $4.61B</t>
  </si>
  <si>
    <t xml:space="preserve">Q4 2026 operating margin</t>
  </si>
  <si>
    <t xml:space="preserve">Q3 actual 2.6%</t>
  </si>
  <si>
    <t xml:space="preserve">Automotive revenue growth 2027</t>
  </si>
  <si>
    <t xml:space="preserve">Includes FSD subscriptions</t>
  </si>
  <si>
    <t xml:space="preserve">Automotive revenue growth 2028</t>
  </si>
  <si>
    <t xml:space="preserve">Automotive revenue growth 2029</t>
  </si>
  <si>
    <t xml:space="preserve">Automotive revenue growth 2030</t>
  </si>
  <si>
    <t xml:space="preserve">Energy revenue growth 2027</t>
  </si>
  <si>
    <t xml:space="preserve">Energy revenue growth 2028</t>
  </si>
  <si>
    <t xml:space="preserve">Energy revenue growth 2029</t>
  </si>
  <si>
    <t xml:space="preserve">Energy revenue growth 2030</t>
  </si>
  <si>
    <t xml:space="preserve">Services revenue growth 2027</t>
  </si>
  <si>
    <t xml:space="preserve">Services revenue growth 2028</t>
  </si>
  <si>
    <t xml:space="preserve">Services revenue growth 2029</t>
  </si>
  <si>
    <t xml:space="preserve">Services revenue growth 2030</t>
  </si>
  <si>
    <t xml:space="preserve">Autonomy &amp; Optimus revenue ($B) 2027</t>
  </si>
  <si>
    <t xml:space="preserve">Robotaxi network and humanoid robots only; FSD stays in Automotive</t>
  </si>
  <si>
    <t xml:space="preserve">Autonomy &amp; Optimus revenue ($B) 2028</t>
  </si>
  <si>
    <t xml:space="preserve">Autonomy &amp; Optimus revenue ($B) 2029</t>
  </si>
  <si>
    <t xml:space="preserve">Autonomy &amp; Optimus revenue ($B) 2030</t>
  </si>
  <si>
    <t xml:space="preserve">Automotive EBITDA margin before stock comp 2027</t>
  </si>
  <si>
    <t xml:space="preserve">Automotive EBITDA margin before stock comp 2030</t>
  </si>
  <si>
    <t xml:space="preserve">Energy EBITDA margin before stock comp 2027</t>
  </si>
  <si>
    <t xml:space="preserve">Energy EBITDA margin before stock comp 2030</t>
  </si>
  <si>
    <t xml:space="preserve">Services EBITDA margin before stock comp 2027</t>
  </si>
  <si>
    <t xml:space="preserve">Services EBITDA margin before stock comp 2030</t>
  </si>
  <si>
    <t xml:space="preserve">Autonomy &amp; Optimus EBITDA margin before stock comp 2027</t>
  </si>
  <si>
    <t xml:space="preserve">Autonomy &amp; Optimus EBITDA margin before stock comp 2030</t>
  </si>
  <si>
    <t xml:space="preserve">Tesla stock comp, % of revenue</t>
  </si>
  <si>
    <t xml:space="preserve">Nine months 2026: 4.3%</t>
  </si>
  <si>
    <t xml:space="preserve">Tesla capex % of revenue 2027</t>
  </si>
  <si>
    <t xml:space="preserve">Tesla capex % of revenue 2030</t>
  </si>
  <si>
    <t xml:space="preserve">A&amp;O revenue scale that matches the Tesla market price (solved)</t>
  </si>
  <si>
    <t xml:space="preserve">Solved by iteration outside the workbook; the check cell shows the gap. Bear and Managed downside: no solution within funding limits (left at 1.0)</t>
  </si>
  <si>
    <t xml:space="preserve">Tesla exit multiple of 2030 after-tax operating profit</t>
  </si>
  <si>
    <t xml:space="preserve">Tesla exit multiple of 2030 unlevered cash flow</t>
  </si>
  <si>
    <t xml:space="preserve">Merger synergies (hypothetical)</t>
  </si>
  <si>
    <t xml:space="preserve">Cost synergies at full run-rate ($B per year)</t>
  </si>
  <si>
    <t xml:space="preserve">Shared R&amp;D, chips, AI training, public-company costs</t>
  </si>
  <si>
    <t xml:space="preserve">Revenue synergies at full run-rate ($B per year)</t>
  </si>
  <si>
    <t xml:space="preserve">Operating margin on revenue synergies</t>
  </si>
  <si>
    <t xml:space="preserve">Dis-synergies at full run-rate ($B per year)</t>
  </si>
  <si>
    <t xml:space="preserve">Capex savings, % of combined capex at full run-rate</t>
  </si>
  <si>
    <t xml:space="preserve">Scenario probability</t>
  </si>
  <si>
    <t xml:space="preserve">Bear/Base/Bull must sum to 100%. Managed downside is not weighted</t>
  </si>
  <si>
    <t xml:space="preserve">Probability check (Bear + Base + Bull)</t>
  </si>
  <si>
    <t xml:space="preserve">Input checks</t>
  </si>
  <si>
    <t xml:space="preserve">Problems</t>
  </si>
  <si>
    <t xml:space="preserve">Probabilities sum to 100%; managed downside weight is zero</t>
  </si>
  <si>
    <t xml:space="preserve">Prices and share counts positive</t>
  </si>
  <si>
    <t xml:space="preserve">Toggles are 0 or 1</t>
  </si>
  <si>
    <t xml:space="preserve">Percentages between 0 and 100% where required</t>
  </si>
  <si>
    <t xml:space="preserve">Premium above -100%; discount rate positive; delay whole and 0-4</t>
  </si>
  <si>
    <t xml:space="preserve">Asset lives whole numbers of at least 1 year</t>
  </si>
  <si>
    <t xml:space="preserve">Multiples positive</t>
  </si>
  <si>
    <t xml:space="preserve">Growth rates above -100%</t>
  </si>
  <si>
    <t xml:space="preserve">Revenue, capex, stock comp, synergy and limit inputs not negative</t>
  </si>
  <si>
    <t xml:space="preserve">Margins below 100% and stock comp below EBITDA margin cap</t>
  </si>
  <si>
    <t xml:space="preserve">Total problems</t>
  </si>
  <si>
    <t xml:space="preserve">Bear case: SpaceX, Tesla and the combined company ($ billions except per share)</t>
  </si>
  <si>
    <t xml:space="preserve">2026E column: revenue, operating income, D&amp;A and capex are full year (nine months reported + assumed Q4). Taxable income is full year for the loss roll-forward. Stock comp, cash taxes and all cash rows are Q4 2026 only.</t>
  </si>
  <si>
    <t xml:space="preserve">SpaceX standalone</t>
  </si>
  <si>
    <t xml:space="preserve">2026E</t>
  </si>
  <si>
    <t xml:space="preserve">2027E</t>
  </si>
  <si>
    <t xml:space="preserve">2028E</t>
  </si>
  <si>
    <t xml:space="preserve">2029E</t>
  </si>
  <si>
    <t xml:space="preserve">2030E</t>
  </si>
  <si>
    <t xml:space="preserve">SI revenue</t>
  </si>
  <si>
    <t xml:space="preserve">  Growth</t>
  </si>
  <si>
    <t xml:space="preserve">Connectivity EBITDA before stock comp</t>
  </si>
  <si>
    <t xml:space="preserve">SI EBITDA before stock comp</t>
  </si>
  <si>
    <t xml:space="preserve">Space EBITDA before stock comp</t>
  </si>
  <si>
    <t xml:space="preserve">EBITDA before stock comp</t>
  </si>
  <si>
    <t xml:space="preserve">Regular stock comp (non-cash cost)</t>
  </si>
  <si>
    <t xml:space="preserve">Acquisition stock comp expensed (only if switch = 0)</t>
  </si>
  <si>
    <t xml:space="preserve">Acquisition awards: counted as shares (switch = 1, default) or expensed here (switch = 0), never both</t>
  </si>
  <si>
    <t xml:space="preserve">Depreciation: Connectivity</t>
  </si>
  <si>
    <t xml:space="preserve">Depreciation: SI</t>
  </si>
  <si>
    <t xml:space="preserve">Depreciation: Space</t>
  </si>
  <si>
    <t xml:space="preserve">Depreciation: total</t>
  </si>
  <si>
    <t xml:space="preserve">Operating income (EBIT)</t>
  </si>
  <si>
    <t xml:space="preserve">  Operating margin</t>
  </si>
  <si>
    <t xml:space="preserve">Capex: Connectivity</t>
  </si>
  <si>
    <t xml:space="preserve">Capex: SI</t>
  </si>
  <si>
    <t xml:space="preserve">Capex: Space</t>
  </si>
  <si>
    <t xml:space="preserve">Capex: total</t>
  </si>
  <si>
    <t xml:space="preserve">  Q4 2026 capex: Connectivity</t>
  </si>
  <si>
    <t xml:space="preserve">  Q4 2026 capex: SI</t>
  </si>
  <si>
    <t xml:space="preserve">  Q4 2026 capex: Space</t>
  </si>
  <si>
    <t xml:space="preserve">  Capex / depreciation (below 1.0x = shrinking asset base)</t>
  </si>
  <si>
    <t xml:space="preserve">Taxable income before losses (EBIT less extra tax depreciation); 2026 = full year</t>
  </si>
  <si>
    <t xml:space="preserve">State: pre-2027 losses used</t>
  </si>
  <si>
    <t xml:space="preserve">State: later losses used</t>
  </si>
  <si>
    <t xml:space="preserve">State: pre-2027 losses remaining</t>
  </si>
  <si>
    <t xml:space="preserve">State: later losses remaining</t>
  </si>
  <si>
    <t xml:space="preserve">State tax</t>
  </si>
  <si>
    <t xml:space="preserve">Federal taxable income before losses (state tax deducted)</t>
  </si>
  <si>
    <t xml:space="preserve">Federal: pre-2027 losses used (subject to annual limit)</t>
  </si>
  <si>
    <t xml:space="preserve">Federal: later losses used</t>
  </si>
  <si>
    <t xml:space="preserve">Federal: pre-2027 losses remaining</t>
  </si>
  <si>
    <t xml:space="preserve">Federal: later losses remaining</t>
  </si>
  <si>
    <t xml:space="preserve">Federal tax before credits</t>
  </si>
  <si>
    <t xml:space="preserve">Credits used</t>
  </si>
  <si>
    <t xml:space="preserve">Credits remaining</t>
  </si>
  <si>
    <t xml:space="preserve">Cash taxes (unlevered; 2026 = Q4 at input rate)</t>
  </si>
  <si>
    <t xml:space="preserve">Cumulative tax depreciation in excess of book since 2026</t>
  </si>
  <si>
    <t xml:space="preserve">  Implied deferred tax at the normal rate</t>
  </si>
  <si>
    <t xml:space="preserve">After-tax operating profit (cash-tax basis)</t>
  </si>
  <si>
    <t xml:space="preserve">Working capital investment</t>
  </si>
  <si>
    <t xml:space="preserve">Unlevered cash flow (stock comp charged)</t>
  </si>
  <si>
    <t xml:space="preserve">Cash flow before interest and funding (stock comp added back)</t>
  </si>
  <si>
    <t xml:space="preserve">Cash and securities, opening</t>
  </si>
  <si>
    <t xml:space="preserve">Debt, opening</t>
  </si>
  <si>
    <t xml:space="preserve">Existing debt repaid instead of refinanced</t>
  </si>
  <si>
    <t xml:space="preserve">Closing cash if no new funding</t>
  </si>
  <si>
    <t xml:space="preserve">New funding needed (net)</t>
  </si>
  <si>
    <t xml:space="preserve">Gross amount raised</t>
  </si>
  <si>
    <t xml:space="preserve">  as debt</t>
  </si>
  <si>
    <t xml:space="preserve">  as equity</t>
  </si>
  <si>
    <t xml:space="preserve">Funding fees</t>
  </si>
  <si>
    <t xml:space="preserve">Interest earned (average balance)</t>
  </si>
  <si>
    <t xml:space="preserve">Interest paid (average balance)</t>
  </si>
  <si>
    <t xml:space="preserve">Cash and securities, closing</t>
  </si>
  <si>
    <t xml:space="preserve">Debt, closing</t>
  </si>
  <si>
    <t xml:space="preserve">Net cash, closing</t>
  </si>
  <si>
    <t xml:space="preserve">  Check: cash identity (0)</t>
  </si>
  <si>
    <t xml:space="preserve">Cumulative gross funding</t>
  </si>
  <si>
    <t xml:space="preserve">  Funding status</t>
  </si>
  <si>
    <t xml:space="preserve">Valuation: 2030 EBIT</t>
  </si>
  <si>
    <t xml:space="preserve">  exit tax rate</t>
  </si>
  <si>
    <t xml:space="preserve">  2030 after-tax operating profit</t>
  </si>
  <si>
    <t xml:space="preserve">  exit multiple of profit</t>
  </si>
  <si>
    <t xml:space="preserve">  exit value, discounted</t>
  </si>
  <si>
    <t xml:space="preserve">  discounted unlevered cash flow 2027-2030</t>
  </si>
  <si>
    <t xml:space="preserve">Enterprise value: profit-multiple method</t>
  </si>
  <si>
    <t xml:space="preserve">  2030 unlevered cash flow at the exit tax rate</t>
  </si>
  <si>
    <t xml:space="preserve">  exit multiple of cash flow</t>
  </si>
  <si>
    <t xml:space="preserve">  exit value (cash flow), discounted</t>
  </si>
  <si>
    <t xml:space="preserve">Enterprise value: cash flow method</t>
  </si>
  <si>
    <t xml:space="preserve">Enterprise value: blended</t>
  </si>
  <si>
    <t xml:space="preserve">  Post-2030 tax schedule (G = 2030 close; H onward = years after 2030). B = taxable income held flat</t>
  </si>
  <si>
    <t xml:space="preserve">  discount factor at 2030</t>
  </si>
  <si>
    <t xml:space="preserve">  state pre-2027 losses, opening</t>
  </si>
  <si>
    <t xml:space="preserve">  used</t>
  </si>
  <si>
    <t xml:space="preserve">  state later losses, opening</t>
  </si>
  <si>
    <t xml:space="preserve">  state tax</t>
  </si>
  <si>
    <t xml:space="preserve">  federal taxable income before losses</t>
  </si>
  <si>
    <t xml:space="preserve">  federal pre-2027 losses, opening</t>
  </si>
  <si>
    <t xml:space="preserve">  used (annual limit applies)</t>
  </si>
  <si>
    <t xml:space="preserve">  federal later losses, opening</t>
  </si>
  <si>
    <t xml:space="preserve">  federal tax before credits</t>
  </si>
  <si>
    <t xml:space="preserve">  credits, opening</t>
  </si>
  <si>
    <t xml:space="preserve">  used (limit and expiry apply)</t>
  </si>
  <si>
    <t xml:space="preserve">  tax saved vs. no losses or credits</t>
  </si>
  <si>
    <t xml:space="preserve">  value at 2030 (B)</t>
  </si>
  <si>
    <t xml:space="preserve">Tax losses and credits left at 2030, discounted</t>
  </si>
  <si>
    <t xml:space="preserve">Net cash at end 2026</t>
  </si>
  <si>
    <t xml:space="preserve">Tesla's SpaceX stake (at this case's SpaceX value)</t>
  </si>
  <si>
    <t xml:space="preserve">Funding fees 2027-2030, discounted</t>
  </si>
  <si>
    <t xml:space="preserve">Value before new equity (all funding at fair value)</t>
  </si>
  <si>
    <t xml:space="preserve">Diluted shares (billions)</t>
  </si>
  <si>
    <t xml:space="preserve">  value per share before Q4 2026 equity (pre-money)</t>
  </si>
  <si>
    <t xml:space="preserve">  new shares for Q4 2026 equity</t>
  </si>
  <si>
    <t xml:space="preserve">  value per share after Q4 2026 equity</t>
  </si>
  <si>
    <t xml:space="preserve">  new equity raised 2027-2030, discounted</t>
  </si>
  <si>
    <t xml:space="preserve">  new shares issued for funding (total; present-value approximation)</t>
  </si>
  <si>
    <t xml:space="preserve">Value per existing share</t>
  </si>
  <si>
    <t xml:space="preserve">Validity check</t>
  </si>
  <si>
    <t xml:space="preserve">Value per share (valid cases)</t>
  </si>
  <si>
    <t xml:space="preserve">Equity value to existing holders</t>
  </si>
  <si>
    <t xml:space="preserve">  dilution loss to existing holders from new equity (excludes capital contributed)</t>
  </si>
  <si>
    <t xml:space="preserve">Tesla standalone</t>
  </si>
  <si>
    <t xml:space="preserve">Automotive revenue</t>
  </si>
  <si>
    <t xml:space="preserve">Energy revenue</t>
  </si>
  <si>
    <t xml:space="preserve">Services revenue</t>
  </si>
  <si>
    <t xml:space="preserve">Autonomy &amp; Optimus revenue</t>
  </si>
  <si>
    <t xml:space="preserve">Automotive EBITDA before stock comp</t>
  </si>
  <si>
    <t xml:space="preserve">Energy EBITDA before stock comp</t>
  </si>
  <si>
    <t xml:space="preserve">Services EBITDA before stock comp</t>
  </si>
  <si>
    <t xml:space="preserve">Autonomy &amp; Optimus EBITDA before stock comp</t>
  </si>
  <si>
    <t xml:space="preserve">Stock comp (non-cash cost)</t>
  </si>
  <si>
    <t xml:space="preserve">(not used)</t>
  </si>
  <si>
    <t xml:space="preserve">Depreciation</t>
  </si>
  <si>
    <t xml:space="preserve">Capex</t>
  </si>
  <si>
    <t xml:space="preserve">  Q4 2026 capex</t>
  </si>
  <si>
    <t xml:space="preserve">  Capex / depreciation</t>
  </si>
  <si>
    <t xml:space="preserve">Tesla: Autonomy &amp; Optimus attribution (approximate)</t>
  </si>
  <si>
    <t xml:space="preserve">Autonomy &amp; Optimus: share of depreciation (by revenue)</t>
  </si>
  <si>
    <t xml:space="preserve">Autonomy &amp; Optimus: EBIT</t>
  </si>
  <si>
    <t xml:space="preserve">Autonomy &amp; Optimus: after-tax profit (normal rate)</t>
  </si>
  <si>
    <t xml:space="preserve">Autonomy &amp; Optimus: cash flow (attribution)</t>
  </si>
  <si>
    <t xml:space="preserve">Attributed value of Autonomy &amp; Optimus (column B)</t>
  </si>
  <si>
    <t xml:space="preserve">Tesla counterfactual: no Autonomy &amp; Optimus</t>
  </si>
  <si>
    <t xml:space="preserve">Tesla at the A&amp;O scale that matches the market price</t>
  </si>
  <si>
    <t xml:space="preserve">Synergies (headline)</t>
  </si>
  <si>
    <t xml:space="preserve">Benefit realization (after delay, x share realized)</t>
  </si>
  <si>
    <t xml:space="preserve">Cost realization (after delay)</t>
  </si>
  <si>
    <t xml:space="preserve">Cost synergies</t>
  </si>
  <si>
    <t xml:space="preserve">Revenue synergies</t>
  </si>
  <si>
    <t xml:space="preserve">Operating income on revenue synergies</t>
  </si>
  <si>
    <t xml:space="preserve">Dis-synergies</t>
  </si>
  <si>
    <t xml:space="preserve">One-time deal and integration costs</t>
  </si>
  <si>
    <t xml:space="preserve">Operating income before depreciation effects</t>
  </si>
  <si>
    <t xml:space="preserve">Integration capex</t>
  </si>
  <si>
    <t xml:space="preserve">Capex savings</t>
  </si>
  <si>
    <t xml:space="preserve">Intercompany profit eliminated</t>
  </si>
  <si>
    <t xml:space="preserve">Change in consolidated capex</t>
  </si>
  <si>
    <t xml:space="preserve">Change in consolidated depreciation</t>
  </si>
  <si>
    <t xml:space="preserve">EBIT effect</t>
  </si>
  <si>
    <t xml:space="preserve">Taxable income effect</t>
  </si>
  <si>
    <t xml:space="preserve">Tax effect (normal rate; negative = saving)</t>
  </si>
  <si>
    <t xml:space="preserve">Cash flow effect</t>
  </si>
  <si>
    <t xml:space="preserve">  2030 cash flow at the normal rate</t>
  </si>
  <si>
    <t xml:space="preserve">  value, profit-multiple method</t>
  </si>
  <si>
    <t xml:space="preserve">  value, cash flow method</t>
  </si>
  <si>
    <t xml:space="preserve">Value (own multiples, blended)</t>
  </si>
  <si>
    <t xml:space="preserve">Synergies: execution case (shown alongside)</t>
  </si>
  <si>
    <t xml:space="preserve">Intercompany Megapack sales (eliminated)</t>
  </si>
  <si>
    <t xml:space="preserve">Eliminated profit is released through lower depreciation of the internally bought equipment</t>
  </si>
  <si>
    <t xml:space="preserve">Cash taxes</t>
  </si>
  <si>
    <t xml:space="preserve">Unlevered cash flow</t>
  </si>
  <si>
    <t xml:space="preserve">Combined funding uses Tesla's cash for SpaceX's build-out; the deal closes at end 2026</t>
  </si>
  <si>
    <t xml:space="preserve">Discount factor to end 2026</t>
  </si>
  <si>
    <t xml:space="preserve">Combined company, synergy execution case: funding</t>
  </si>
  <si>
    <t xml:space="preserve">Valuation as of end 2026 (enterprise basis)</t>
  </si>
  <si>
    <t xml:space="preserve">Combined</t>
  </si>
  <si>
    <t xml:space="preserve">2030 operating income (EBIT)</t>
  </si>
  <si>
    <t xml:space="preserve">2030 after-tax operating profit</t>
  </si>
  <si>
    <t xml:space="preserve">Exit multiple of after-tax profit (combined = implied)</t>
  </si>
  <si>
    <t xml:space="preserve">Exit value, discounted</t>
  </si>
  <si>
    <t xml:space="preserve">Discounted unlevered cash flow 2027-2030</t>
  </si>
  <si>
    <t xml:space="preserve">2030 unlevered cash flow at the exit tax rate</t>
  </si>
  <si>
    <t xml:space="preserve">Exit multiple of cash flow (combined = implied)</t>
  </si>
  <si>
    <t xml:space="preserve">Exit value (cash flow), discounted</t>
  </si>
  <si>
    <t xml:space="preserve">Combined-company valuation adjustment</t>
  </si>
  <si>
    <t xml:space="preserve">Enterprise value</t>
  </si>
  <si>
    <t xml:space="preserve">  Exit value share of value (method 1 / method 2)</t>
  </si>
  <si>
    <t xml:space="preserve">Plus tax losses and credits left at 2030, discounted</t>
  </si>
  <si>
    <t xml:space="preserve">Plus net cash at end 2026</t>
  </si>
  <si>
    <t xml:space="preserve">Plus Tesla's SpaceX stake</t>
  </si>
  <si>
    <t xml:space="preserve">Less funding fees 2027-2030, discounted</t>
  </si>
  <si>
    <t xml:space="preserve">Value before new equity</t>
  </si>
  <si>
    <t xml:space="preserve">Diluted shares before funding (billions)</t>
  </si>
  <si>
    <t xml:space="preserve">New shares issued for funding (billions)</t>
  </si>
  <si>
    <t xml:space="preserve">New equity raised 2027-2030, discounted</t>
  </si>
  <si>
    <t xml:space="preserve">Value per share</t>
  </si>
  <si>
    <t xml:space="preserve">  dilution loss from new equity (excludes capital contributed)</t>
  </si>
  <si>
    <t xml:space="preserve">  Per share, profit-multiple method only</t>
  </si>
  <si>
    <t xml:space="preserve">  Per share, cash flow method only</t>
  </si>
  <si>
    <t xml:space="preserve">Market price</t>
  </si>
  <si>
    <t xml:space="preserve">Model value vs. market price</t>
  </si>
  <si>
    <t xml:space="preserve">Tesla: attributed Autonomy &amp; Optimus value per share</t>
  </si>
  <si>
    <t xml:space="preserve">Tesla: attributed core value per share (Tesla value less the line above)</t>
  </si>
  <si>
    <t xml:space="preserve">Tesla value per share with no Autonomy &amp; Optimus (full-model counterfactual)</t>
  </si>
  <si>
    <t xml:space="preserve">A&amp;O revenue scale that matches the market price (solved)</t>
  </si>
  <si>
    <t xml:space="preserve">  2030 A&amp;O revenue at that scale ($B)</t>
  </si>
  <si>
    <t xml:space="preserve">  Tesla value per share at that scale</t>
  </si>
  <si>
    <t xml:space="preserve">  Check: value less market price (should be ~0)</t>
  </si>
  <si>
    <t xml:space="preserve">Value per Tesla share received (combined value x exchange ratio)</t>
  </si>
  <si>
    <t xml:space="preserve">SpaceX holder: combined value per share vs. standalone</t>
  </si>
  <si>
    <t xml:space="preserve">Tesla holder: value received vs. standalone</t>
  </si>
  <si>
    <t xml:space="preserve">Value of synergies (after one-time costs)</t>
  </si>
  <si>
    <t xml:space="preserve">Value of intercompany elimination</t>
  </si>
  <si>
    <t xml:space="preserve">Value of synergies, execution case</t>
  </si>
  <si>
    <t xml:space="preserve">Combined funding to 2030, execution case ($B)</t>
  </si>
  <si>
    <t xml:space="preserve">  execution case: 2030 after-tax operating profit</t>
  </si>
  <si>
    <t xml:space="preserve">  execution case: 2030 cash flow at the exit tax rate</t>
  </si>
  <si>
    <t xml:space="preserve">  execution case: enterprise value, profit-multiple method</t>
  </si>
  <si>
    <t xml:space="preserve">  execution case: enterprise value, cash flow method</t>
  </si>
  <si>
    <t xml:space="preserve">Value before new equity, execution case</t>
  </si>
  <si>
    <t xml:space="preserve">Validity check, execution case</t>
  </si>
  <si>
    <t xml:space="preserve">Combined value per share, execution case (own funding)</t>
  </si>
  <si>
    <t xml:space="preserve">Synergy value SpaceX holders need to break even, model values</t>
  </si>
  <si>
    <t xml:space="preserve">Enterprise basis: unlevered cash flows and exit multiples of unlevered after-tax profit, discounted at the cost of capital, then net cash added. Interest is not in the valuation.</t>
  </si>
  <si>
    <t xml:space="preserve">Financing costs enter through the cost-of-capital assumption plus separately modeled effects: funding fees, and new shares issued below value (counted explicitly). The 11% rate is an assumption, not a derived cost of capital.</t>
  </si>
  <si>
    <t xml:space="preserve">Combined value = SpaceX + Tesla + synergies + intercompany elimination (each with its own depreciation and tax effects) + combined net cash - combined funding costs. Tesla's SpaceX stake is retired.</t>
  </si>
  <si>
    <t xml:space="preserve">Tesla Autonomy &amp; Optimus: 'attributed' splits the main forecast; 'counterfactual' reruns Tesla with no A&amp;O; the solved scale reruns Tesla with the A&amp;O path scaled until value equals the market price.</t>
  </si>
  <si>
    <t xml:space="preserve">Base case: SpaceX, Tesla and the combined company ($ billions except per share)</t>
  </si>
  <si>
    <t xml:space="preserve">Bull case: SpaceX, Tesla and the combined company ($ billions except per share)</t>
  </si>
  <si>
    <t xml:space="preserve">Downside case: SpaceX, Tesla and the combined company ($ billions except per share)</t>
  </si>
  <si>
    <t xml:space="preserve">Deal terms, ownership and control (illustrative all-stock merger: SpaceX issues Class A shares to Tesla holders)</t>
  </si>
  <si>
    <t xml:space="preserve">No terms have been agreed. Assumed: closing at end 2026, fixed exchange ratio set at the reference prices, Tesla awards converted at the same ratio, new shares are one-vote Class A.</t>
  </si>
  <si>
    <t xml:space="preserve">Exchange terms</t>
  </si>
  <si>
    <t xml:space="preserve">SpaceX reference price ($)</t>
  </si>
  <si>
    <t xml:space="preserve">Tesla reference price ($)</t>
  </si>
  <si>
    <t xml:space="preserve">Market exchange ratio (no premium)</t>
  </si>
  <si>
    <t xml:space="preserve">Exchange ratio (SpaceX shares per Tesla share), fixed</t>
  </si>
  <si>
    <t xml:space="preserve">Tesla shares outstanding (Oct 15, 2026)</t>
  </si>
  <si>
    <t xml:space="preserve">Includes Musk's restricted and unearned shares</t>
  </si>
  <si>
    <t xml:space="preserve">Tesla dilutive securities</t>
  </si>
  <si>
    <t xml:space="preserve">Tesla shares exchanged</t>
  </si>
  <si>
    <t xml:space="preserve">New SpaceX shares for Tesla holders (incl. converted awards)</t>
  </si>
  <si>
    <t xml:space="preserve">Outstanding Tesla shares get voting Class A; converted awards do not vote until issued</t>
  </si>
  <si>
    <t xml:space="preserve">SpaceX shares outstanding (Oct 15, 2026)</t>
  </si>
  <si>
    <t xml:space="preserve">SpaceX dilutive securities (net of acquisition-award switch)</t>
  </si>
  <si>
    <t xml:space="preserve">SpaceX diluted shares before the deal</t>
  </si>
  <si>
    <t xml:space="preserve">SpaceX shares held by Tesla (retired; frozen estimate)</t>
  </si>
  <si>
    <t xml:space="preserve">Pro forma diluted shares</t>
  </si>
  <si>
    <t xml:space="preserve">Ownership: SpaceX holders (excluding Tesla's stake)</t>
  </si>
  <si>
    <t xml:space="preserve">Ownership: former Tesla holders</t>
  </si>
  <si>
    <t xml:space="preserve">SpaceX market value, diluted ($B)</t>
  </si>
  <si>
    <t xml:space="preserve">Tesla market value, diluted ($B)</t>
  </si>
  <si>
    <t xml:space="preserve">Premium paid to Tesla holders at market prices ($B)</t>
  </si>
  <si>
    <t xml:space="preserve">SpaceX holders' value change at market prices with no synergies ($B)</t>
  </si>
  <si>
    <t xml:space="preserve">They bear their ownership share of the premium; the rest is borne by Tesla holders' own shares</t>
  </si>
  <si>
    <t xml:space="preserve">Musk holdings (dated filings)</t>
  </si>
  <si>
    <t xml:space="preserve">Shares (B)</t>
  </si>
  <si>
    <t xml:space="preserve">SpaceX Class A</t>
  </si>
  <si>
    <t xml:space="preserve">May 1, 2026</t>
  </si>
  <si>
    <t xml:space="preserve">SpaceX Class B, issued</t>
  </si>
  <si>
    <t xml:space="preserve">Includes restricted</t>
  </si>
  <si>
    <t xml:space="preserve">  of which performance-restricted (votes; contingent economics)</t>
  </si>
  <si>
    <t xml:space="preserve">SpaceX Class B options, net of exercise price</t>
  </si>
  <si>
    <t xml:space="preserve">Not voting</t>
  </si>
  <si>
    <t xml:space="preserve">Tesla shares Musk votes (trust + 2018-award restricted)</t>
  </si>
  <si>
    <t xml:space="preserve">Sep 30, 2026</t>
  </si>
  <si>
    <t xml:space="preserve">Tesla unearned 2025-award shares (voted in proportion to others)</t>
  </si>
  <si>
    <t xml:space="preserve">SpaceX voting Class A outstanding</t>
  </si>
  <si>
    <t xml:space="preserve">Oct 15, 2026</t>
  </si>
  <si>
    <t xml:space="preserve">SpaceX Class B outstanding</t>
  </si>
  <si>
    <t xml:space="preserve">Voting Class A after the deal</t>
  </si>
  <si>
    <t xml:space="preserve">Converted awards excluded until issued</t>
  </si>
  <si>
    <t xml:space="preserve">New shares issued for funding by 2030, Base combined</t>
  </si>
  <si>
    <t xml:space="preserve">Assumes Musk does not buy</t>
  </si>
  <si>
    <t xml:space="preserve">Musk ownership views</t>
  </si>
  <si>
    <t xml:space="preserve">Before</t>
  </si>
  <si>
    <t xml:space="preserve">After deal</t>
  </si>
  <si>
    <t xml:space="preserve">After deal + Base funding</t>
  </si>
  <si>
    <t xml:space="preserve">Definition</t>
  </si>
  <si>
    <t xml:space="preserve">Economic: issued shares</t>
  </si>
  <si>
    <t xml:space="preserve">All issued shares, including restricted and unearned</t>
  </si>
  <si>
    <t xml:space="preserve">Economic: excluding performance-contingent awards</t>
  </si>
  <si>
    <t xml:space="preserve">Removes SpaceX contingent awards (1.333B) and Tesla's unearned 2025 award from both sides</t>
  </si>
  <si>
    <t xml:space="preserve">Economic: diluted</t>
  </si>
  <si>
    <t xml:space="preserve">Adds options and awards, net of exercise prices</t>
  </si>
  <si>
    <t xml:space="preserve">Votes Musk directs</t>
  </si>
  <si>
    <t xml:space="preserve">Unearned Tesla shares keep proportional voting after conversion (assumed)</t>
  </si>
  <si>
    <t xml:space="preserve">Effective voting share (unearned shares echo others)</t>
  </si>
  <si>
    <t xml:space="preserve">Musk's share of the votes that are actually directed</t>
  </si>
  <si>
    <t xml:space="preserve">Holdings assume no changes since the filing dates. Whether the unearned Tesla award keeps its voting restriction after a merger is not a known term. Class B holders elect 51% of SpaceX directors.</t>
  </si>
  <si>
    <t xml:space="preserve">Tesla 2025 award if the merger is a change in control (disclosure)</t>
  </si>
  <si>
    <t xml:space="preserve">Market value milestones ($T)</t>
  </si>
  <si>
    <t xml:space="preserve">Proxy tranche table (columns F onward)</t>
  </si>
  <si>
    <t xml:space="preserve">Tesla market value for the award test ($T)</t>
  </si>
  <si>
    <t xml:space="preserve">Shares outstanding just before closing x the greater of the last closing price and the deal price (award terms). Assumed: today's shares and prices</t>
  </si>
  <si>
    <t xml:space="preserve">Tranches earned in a change in control</t>
  </si>
  <si>
    <t xml:space="preserve">Earned only on market value; operational milestones are not needed</t>
  </si>
  <si>
    <t xml:space="preserve">Shares earned (billions)</t>
  </si>
  <si>
    <t xml:space="preserve">Shares forfeited (billions)</t>
  </si>
  <si>
    <t xml:space="preserve">Forfeited automatically</t>
  </si>
  <si>
    <t xml:space="preserve">Earned shares net of the $334.09 offset</t>
  </si>
  <si>
    <t xml:space="preserve">If Musk does not pay the offset in cash</t>
  </si>
  <si>
    <t xml:space="preserve">Premium needed to earn the first tranche (conditional)</t>
  </si>
  <si>
    <t xml:space="preserve">Conditional on today's share count and Tesla price; whether this deal triggers the provisions is also conditional</t>
  </si>
  <si>
    <t xml:space="preserve">Musk economic stake after deal, change-in-control treatment</t>
  </si>
  <si>
    <t xml:space="preserve">Issued-share basis; compare with the continuation view above</t>
  </si>
  <si>
    <t xml:space="preserve">Headline ownership assumes the award continues unchanged (an assumption). Musk's 2018-award restricted shares vest on a change in control.</t>
  </si>
  <si>
    <t xml:space="preserve">Tesla shareholder vote</t>
  </si>
  <si>
    <t xml:space="preserve">Tesla shares outstanding</t>
  </si>
  <si>
    <t xml:space="preserve">Shares Musk votes (trust + 2018-award restricted)</t>
  </si>
  <si>
    <t xml:space="preserve">Assumes Musk votes yes</t>
  </si>
  <si>
    <t xml:space="preserve">Unearned 2025-award shares (vote in proportion to others)</t>
  </si>
  <si>
    <t xml:space="preserve">Voted by proxy in proportion to votes cast</t>
  </si>
  <si>
    <t xml:space="preserve">All other Tesla shares</t>
  </si>
  <si>
    <t xml:space="preserve">Not necessarily the legal 'minority' electorate</t>
  </si>
  <si>
    <t xml:space="preserve">Turnout of other shares</t>
  </si>
  <si>
    <t xml:space="preserve">Shares voting (excluding unearned)</t>
  </si>
  <si>
    <t xml:space="preserve">Yes votes needed from other shares</t>
  </si>
  <si>
    <t xml:space="preserve">Threshold applies to all outstanding shares</t>
  </si>
  <si>
    <t xml:space="preserve">  as % of all other shares</t>
  </si>
  <si>
    <t xml:space="preserve">  as % of other shares that vote</t>
  </si>
  <si>
    <t xml:space="preserve">Reachable at this turnout?</t>
  </si>
  <si>
    <t xml:space="preserve">SpaceX holders' value change at market prices ($B)</t>
  </si>
  <si>
    <t xml:space="preserve">Premium 0%</t>
  </si>
  <si>
    <t xml:space="preserve">10%</t>
  </si>
  <si>
    <t xml:space="preserve">20%</t>
  </si>
  <si>
    <t xml:space="preserve">30%</t>
  </si>
  <si>
    <t xml:space="preserve">40%</t>
  </si>
  <si>
    <t xml:space="preserve">Synergy value as multiple of Base-case synergy value  \  premium</t>
  </si>
  <si>
    <t xml:space="preserve">Positive = SpaceX holders gain. Market basis: both companies at market prices, synergies at the Base model value.</t>
  </si>
  <si>
    <t xml:space="preserve">Equals the dollar premium. Model-value break-even is on each case tab and on Summary</t>
  </si>
  <si>
    <t xml:space="preserve">Base synergies cover the market-basis break-even?</t>
  </si>
  <si>
    <t xml:space="preserve">Change log</t>
  </si>
  <si>
    <t xml:space="preserve">Version</t>
  </si>
  <si>
    <t xml:space="preserve">Change</t>
  </si>
  <si>
    <t xml:space="preserve">v1.2.2</t>
  </si>
  <si>
    <t xml:space="preserve">Execution case given its own validity checks (profit, cash flow, both method values, value and funding).</t>
  </si>
  <si>
    <t xml:space="preserve">Dilution diagnostic now separates capital contributed by new holders from the dilution loss. Headline values unchanged.</t>
  </si>
  <si>
    <t xml:space="preserve">Award disclosures: unreconciled residuals labeled as such; Tesla overlap labeled an assumption. Change-in-control market value uses the greater of the last closing price and the deal price.</t>
  </si>
  <si>
    <t xml:space="preserve">v1.2.1</t>
  </si>
  <si>
    <t xml:space="preserve">SpaceX dilution rebuilt from the Sep 30, 2026 award table, with a mapping to the prospectus inventory. Tesla dilution reset to ~15M other awards, with a 2025-2026 bridge showing the 301M increment includes Musk's 286M restricted shares.</t>
  </si>
  <si>
    <t xml:space="preserve">Q4 2026 equity priced from value before its proceeds; later raises priced after it (present-value approximation). Funding-neutrality tests added.</t>
  </si>
  <si>
    <t xml:space="preserve">Tax losses and credits after 2030 valued year by year, keeping pools, the annual limit, credit limits, expiry and the state-tax deduction.</t>
  </si>
  <si>
    <t xml:space="preserve">Execution case now has its own combined funding. Tesla 2025-award change-in-control terms disclosed on the Deal tab.</t>
  </si>
  <si>
    <t xml:space="preserve">v1.2</t>
  </si>
  <si>
    <t xml:space="preserve">Funding: interest on average balances, with funding solved including that interest; refinancing-failure input; fee double-count in Q4 2026 removed.</t>
  </si>
  <si>
    <t xml:space="preserve">New equity: shares counted explicitly at a discount to value per share before the raise (replaces a transfer shortcut). Funding shares shown in ownership views.</t>
  </si>
  <si>
    <t xml:space="preserve">Ownership: issued, contingent-excluded, diluted and directed-vote views replace the single toggle. Unearned Tesla award shares keep proportional voting after conversion (assumed).</t>
  </si>
  <si>
    <t xml:space="preserve">Dilution: SpaceX award-level reconciliation from the prospectus and 10-Q; Tesla uses the filed 301M stock-based awards (restricted stock is excluded from diluted shares). Acquisition stock comp: share count or expense, by switch.</t>
  </si>
  <si>
    <t xml:space="preserve">Tax: pre-2027 and later loss pools (federal and state), credits limited with losses, 2026 roll-forward, state tax deductible for federal, tax-basis difference shown.</t>
  </si>
  <si>
    <t xml:space="preserve">Tax attributes left at 2030 valued on a post-2030 use schedule, with a zero-value switch.</t>
  </si>
  <si>
    <t xml:space="preserve">Combined: intercompany profit and synergy capex changes now flow through depreciation and tax, so both valuation methods use the same investment plan.</t>
  </si>
  <si>
    <t xml:space="preserve">Tesla Autonomy &amp; Optimus: full-model counterfactual and full-model solve replace the shortcut.</t>
  </si>
  <si>
    <t xml:space="preserve">Synergy realization share now applies to benefits only. Execution case (dis-synergies, 75% of benefits, integration capex) shown alongside. Delay input relabeled.</t>
  </si>
  <si>
    <t xml:space="preserve">Correction to the v1.1 log: Bear 2027 capex ratios were raised from the delivered v1.0 (SpaceX 25/130/70% to 28/160/80%; Tesla 15% to 18%), restoring the pre-delivery build. That was a commercial change.</t>
  </si>
  <si>
    <t xml:space="preserve">v1.1</t>
  </si>
  <si>
    <t xml:space="preserve">Valuation convention made consistent: enterprise basis (unlevered cash flows, exit multiples of unlevered after-tax profit, cost of capital), then net cash.</t>
  </si>
  <si>
    <t xml:space="preserve">Exit uses a normal tax rate (switchable); remaining tax losses and credits valued separately.</t>
  </si>
  <si>
    <t xml:space="preserve">Depreciation rebuilt: existing assets run off over a remaining life, plus capex by year over an asset life. Margins now set at EBITDA before stock comp, calibrated so v1.0 cash profits are unchanged.</t>
  </si>
  <si>
    <t xml:space="preserve">Stock comp separated (SpaceX 8% from Q3 2026 filings); changing it now changes value. Acquisition stock comp treated as dilution.</t>
  </si>
  <si>
    <t xml:space="preserve">Tax engine: taxable income with full expensing of eligible capex, federal and state losses, credits, 80% limit, separate per company.</t>
  </si>
  <si>
    <t xml:space="preserve">Funding: gross cash and debt, interest, minimum cash, debt/equity mix, fees, equity discount, funding limits with unresolved outcomes. Combined funding modeled separately.</t>
  </si>
  <si>
    <t xml:space="preserve">Share counts updated to Oct 15, 2026 filings; diluted shares added; Musk holdings rebuilt from dated filings; Tesla's SpaceX stake frozen as a labeled estimate.</t>
  </si>
  <si>
    <t xml:space="preserve">Tesla vote math includes unearned award shares voted in proportion and a turnout input.</t>
  </si>
  <si>
    <t xml:space="preserve">Bear capex restored to the pre-delivery v1.0 build (both 2027 and 2030 ratios). Managed downside added as a separate, unweighted case.</t>
  </si>
  <si>
    <t xml:space="preserve">Who-wins shown on market and model bases; note on the premium corrected. Intercompany Megapack sales eliminated.</t>
  </si>
  <si>
    <t xml:space="preserve">Historicals: SpaceX uses reported nine-month figures (operating income $0.705B). Debt note corrected: failed sale-leaseback financing is already in reported debt.</t>
  </si>
  <si>
    <t xml:space="preserve">Added: per-method values, Bull share of weighted value, Tesla core vs Autonomy &amp; Optimus split, combined valuation adjustment, synergy delay, probability, dis-synergies and integration capex (neutral defaults), more input checks.</t>
  </si>
  <si>
    <t xml:space="preserve">v1.0</t>
  </si>
  <si>
    <t xml:space="preserve">First version.</t>
  </si>
</sst>
</file>

<file path=xl/styles.xml><?xml version="1.0" encoding="utf-8"?>
<styleSheet xmlns="http://schemas.openxmlformats.org/spreadsheetml/2006/main">
  <numFmts count="15">
    <numFmt numFmtId="164" formatCode="General"/>
    <numFmt numFmtId="165" formatCode="@"/>
    <numFmt numFmtId="166" formatCode="0.0%;\(0.0%\);\-"/>
    <numFmt numFmtId="167" formatCode="\$#,##0.00"/>
    <numFmt numFmtId="168" formatCode="\$#,##0.0;&quot;($&quot;#,##0.0\);\-"/>
    <numFmt numFmtId="169" formatCode="0.000"/>
    <numFmt numFmtId="170" formatCode="0.0000"/>
    <numFmt numFmtId="171" formatCode="\$#,##0.000;&quot;($&quot;#,##0.000\);\-"/>
    <numFmt numFmtId="172" formatCode="0.000000000"/>
    <numFmt numFmtId="173" formatCode="0.000000"/>
    <numFmt numFmtId="174" formatCode="0"/>
    <numFmt numFmtId="175" formatCode="0.0\x"/>
    <numFmt numFmtId="176" formatCode="0.0"/>
    <numFmt numFmtId="177" formatCode="0.00"/>
    <numFmt numFmtId="178" formatCode="0.0\x"/>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name val="Arial"/>
      <family val="0"/>
      <charset val="1"/>
    </font>
    <font>
      <sz val="10"/>
      <name val="Arial"/>
      <family val="0"/>
      <charset val="1"/>
    </font>
    <font>
      <b val="true"/>
      <sz val="10"/>
      <name val="Arial"/>
      <family val="0"/>
      <charset val="1"/>
    </font>
    <font>
      <b val="true"/>
      <sz val="10"/>
      <color rgb="FFC00000"/>
      <name val="Arial"/>
      <family val="0"/>
      <charset val="1"/>
    </font>
    <font>
      <b val="true"/>
      <sz val="10"/>
      <color rgb="FFFFFFFF"/>
      <name val="Arial"/>
      <family val="0"/>
      <charset val="1"/>
    </font>
    <font>
      <sz val="10"/>
      <color rgb="FF008000"/>
      <name val="Arial"/>
      <family val="0"/>
      <charset val="1"/>
    </font>
    <font>
      <sz val="10"/>
      <color rgb="FF0000FF"/>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D9E1F2"/>
        <bgColor rgb="FFCCFFFF"/>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left"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6" fontId="11" fillId="4" borderId="0" xfId="0" applyFont="true" applyBorder="false" applyAlignment="false" applyProtection="false">
      <alignment horizontal="general" vertical="bottom" textRotation="0" wrapText="false" indent="0" shrinkToFit="false"/>
      <protection locked="true" hidden="false"/>
    </xf>
    <xf numFmtId="174" fontId="11" fillId="4" borderId="0" xfId="0" applyFont="true" applyBorder="false" applyAlignment="false" applyProtection="false">
      <alignment horizontal="general" vertical="bottom" textRotation="0" wrapText="false" indent="0" shrinkToFit="false"/>
      <protection locked="true" hidden="false"/>
    </xf>
    <xf numFmtId="170" fontId="11" fillId="4" borderId="0" xfId="0" applyFont="true" applyBorder="false" applyAlignment="false" applyProtection="false">
      <alignment horizontal="general" vertical="bottom" textRotation="0" wrapText="false" indent="0" shrinkToFit="false"/>
      <protection locked="true" hidden="false"/>
    </xf>
    <xf numFmtId="168" fontId="11" fillId="4" borderId="0" xfId="0" applyFont="true" applyBorder="false" applyAlignment="false" applyProtection="false">
      <alignment horizontal="general" vertical="bottom" textRotation="0" wrapText="false" indent="0" shrinkToFit="false"/>
      <protection locked="true" hidden="false"/>
    </xf>
    <xf numFmtId="175" fontId="11" fillId="4"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75"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8"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15" hidden="false" customHeight="false" outlineLevel="0" collapsed="false">
      <c r="A5" s="3" t="s">
        <v>3</v>
      </c>
    </row>
    <row r="6" customFormat="false" ht="15" hidden="false" customHeight="false" outlineLevel="0" collapsed="false">
      <c r="A6" s="3" t="s">
        <v>4</v>
      </c>
    </row>
    <row r="7" customFormat="false" ht="15" hidden="false" customHeight="false" outlineLevel="0" collapsed="false">
      <c r="A7" s="3"/>
    </row>
    <row r="8" customFormat="false" ht="15" hidden="false" customHeight="false" outlineLevel="0" collapsed="false">
      <c r="A8" s="4" t="s">
        <v>5</v>
      </c>
    </row>
    <row r="9" customFormat="false" ht="15" hidden="false" customHeight="false" outlineLevel="0" collapsed="false">
      <c r="A9" s="3"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row>
    <row r="13" customFormat="false" ht="15" hidden="false" customHeight="false" outlineLevel="0" collapsed="false">
      <c r="A13" s="4" t="s">
        <v>9</v>
      </c>
    </row>
    <row r="14" customFormat="false" ht="23.85" hidden="false" customHeight="false" outlineLevel="0" collapsed="false">
      <c r="A14" s="3" t="s">
        <v>10</v>
      </c>
    </row>
    <row r="15" customFormat="false" ht="23.85" hidden="false" customHeight="false" outlineLevel="0" collapsed="false">
      <c r="A15" s="3" t="s">
        <v>11</v>
      </c>
    </row>
    <row r="16" customFormat="false" ht="15" hidden="false" customHeight="false" outlineLevel="0" collapsed="false">
      <c r="A16" s="3" t="s">
        <v>12</v>
      </c>
    </row>
    <row r="17" customFormat="false" ht="23.85" hidden="false" customHeight="false" outlineLevel="0" collapsed="false">
      <c r="A17" s="3" t="s">
        <v>13</v>
      </c>
    </row>
    <row r="18" customFormat="false" ht="15" hidden="false" customHeight="false" outlineLevel="0" collapsed="false">
      <c r="A18" s="3" t="s">
        <v>14</v>
      </c>
    </row>
    <row r="19" customFormat="false" ht="15" hidden="false" customHeight="false" outlineLevel="0" collapsed="false">
      <c r="A19" s="3" t="s">
        <v>15</v>
      </c>
    </row>
    <row r="20" customFormat="false" ht="15" hidden="false" customHeight="false" outlineLevel="0" collapsed="false">
      <c r="A20" s="3" t="s">
        <v>16</v>
      </c>
    </row>
    <row r="21" customFormat="false" ht="23.85" hidden="false" customHeight="false" outlineLevel="0" collapsed="false">
      <c r="A21" s="3" t="s">
        <v>17</v>
      </c>
    </row>
    <row r="22" customFormat="false" ht="23.85" hidden="false" customHeight="false" outlineLevel="0" collapsed="false">
      <c r="A22" s="3" t="s">
        <v>18</v>
      </c>
    </row>
    <row r="23" customFormat="false" ht="23.85" hidden="false" customHeight="false" outlineLevel="0" collapsed="false">
      <c r="A23" s="3" t="s">
        <v>19</v>
      </c>
    </row>
    <row r="24" customFormat="false" ht="23.85" hidden="false" customHeight="false" outlineLevel="0" collapsed="false">
      <c r="A24" s="3" t="s">
        <v>20</v>
      </c>
    </row>
    <row r="25" customFormat="false" ht="15" hidden="false" customHeight="false" outlineLevel="0" collapsed="false">
      <c r="A25" s="3" t="s">
        <v>21</v>
      </c>
    </row>
    <row r="26" customFormat="false" ht="23.85" hidden="false" customHeight="false" outlineLevel="0" collapsed="false">
      <c r="A26" s="3" t="s">
        <v>22</v>
      </c>
    </row>
    <row r="27" customFormat="false" ht="15" hidden="false" customHeight="false" outlineLevel="0" collapsed="false">
      <c r="A27" s="3" t="s">
        <v>23</v>
      </c>
    </row>
    <row r="28" customFormat="false" ht="15" hidden="false" customHeight="false" outlineLevel="0" collapsed="false">
      <c r="A28" s="3"/>
    </row>
    <row r="29" customFormat="false" ht="15" hidden="false" customHeight="false" outlineLevel="0" collapsed="false">
      <c r="A29" s="4" t="s">
        <v>24</v>
      </c>
    </row>
    <row r="30" customFormat="false" ht="15" hidden="false" customHeight="false" outlineLevel="0" collapsed="false">
      <c r="A30" s="3" t="s">
        <v>25</v>
      </c>
    </row>
    <row r="31" customFormat="false" ht="23.85" hidden="false" customHeight="false" outlineLevel="0" collapsed="false">
      <c r="A31" s="3" t="s">
        <v>26</v>
      </c>
    </row>
    <row r="32" customFormat="false" ht="23.85" hidden="false" customHeight="false" outlineLevel="0" collapsed="false">
      <c r="A32" s="3" t="s">
        <v>27</v>
      </c>
    </row>
    <row r="33" customFormat="false" ht="15" hidden="false" customHeight="false" outlineLevel="0" collapsed="false">
      <c r="A33" s="3" t="s">
        <v>28</v>
      </c>
    </row>
    <row r="34" customFormat="false" ht="15" hidden="false" customHeight="false" outlineLevel="0" collapsed="false">
      <c r="A34" s="3"/>
    </row>
    <row r="35" customFormat="false" ht="15" hidden="false" customHeight="false" outlineLevel="0" collapsed="false">
      <c r="A35" s="4" t="s">
        <v>29</v>
      </c>
    </row>
    <row r="36" customFormat="false" ht="23.85" hidden="false" customHeight="false" outlineLevel="0" collapsed="false">
      <c r="A36" s="3" t="s">
        <v>30</v>
      </c>
    </row>
    <row r="37" customFormat="false" ht="15" hidden="false" customHeight="false" outlineLevel="0" collapsed="false">
      <c r="A37" s="3" t="s">
        <v>31</v>
      </c>
    </row>
    <row r="38" customFormat="false" ht="15" hidden="false" customHeight="false" outlineLevel="0" collapsed="false">
      <c r="A38" s="3" t="s">
        <v>32</v>
      </c>
    </row>
    <row r="39" customFormat="false" ht="15" hidden="false" customHeight="false" outlineLevel="0" collapsed="false">
      <c r="A39" s="3"/>
    </row>
    <row r="40" customFormat="false" ht="15" hidden="false" customHeight="false" outlineLevel="0" collapsed="false">
      <c r="A40" s="4" t="s">
        <v>33</v>
      </c>
    </row>
    <row r="41" customFormat="false" ht="15" hidden="false" customHeight="false" outlineLevel="0" collapsed="false">
      <c r="A41" s="3"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6" min="2" style="0" width="16"/>
  </cols>
  <sheetData>
    <row r="1" customFormat="false" ht="17.35" hidden="false" customHeight="false" outlineLevel="0" collapsed="false">
      <c r="A1" s="5" t="s">
        <v>35</v>
      </c>
    </row>
    <row r="2" customFormat="false" ht="15" hidden="false" customHeight="false" outlineLevel="0" collapsed="false">
      <c r="A2" s="6" t="s">
        <v>36</v>
      </c>
    </row>
    <row r="3" customFormat="false" ht="15" hidden="false" customHeight="false" outlineLevel="0" collapsed="false">
      <c r="A3" s="7" t="str">
        <f aca="false">Inputs!C174</f>
        <v>All input checks passed</v>
      </c>
    </row>
    <row r="5" customFormat="false" ht="15" hidden="false" customHeight="false" outlineLevel="0" collapsed="false">
      <c r="A5" s="8" t="s">
        <v>37</v>
      </c>
      <c r="B5" s="9" t="s">
        <v>38</v>
      </c>
      <c r="C5" s="9" t="s">
        <v>39</v>
      </c>
      <c r="D5" s="9" t="s">
        <v>40</v>
      </c>
      <c r="E5" s="9" t="s">
        <v>41</v>
      </c>
      <c r="F5" s="9" t="s">
        <v>42</v>
      </c>
    </row>
    <row r="6" customFormat="false" ht="15" hidden="false" customHeight="false" outlineLevel="0" collapsed="false">
      <c r="A6" s="10" t="s">
        <v>43</v>
      </c>
      <c r="B6" s="11" t="n">
        <f aca="false">Inputs!B160</f>
        <v>0.25</v>
      </c>
      <c r="C6" s="11" t="n">
        <f aca="false">Inputs!C160</f>
        <v>0.5</v>
      </c>
      <c r="D6" s="11" t="n">
        <f aca="false">Inputs!D160</f>
        <v>0.25</v>
      </c>
      <c r="E6" s="12" t="n">
        <f aca="false">SUM(B6:D6)</f>
        <v>1</v>
      </c>
      <c r="F6" s="11" t="n">
        <f aca="false">Inputs!E160</f>
        <v>0</v>
      </c>
    </row>
    <row r="8" customFormat="false" ht="15" hidden="false" customHeight="false" outlineLevel="0" collapsed="false">
      <c r="A8" s="8" t="s">
        <v>44</v>
      </c>
      <c r="B8" s="9" t="s">
        <v>38</v>
      </c>
      <c r="C8" s="9" t="s">
        <v>39</v>
      </c>
      <c r="D8" s="9" t="s">
        <v>40</v>
      </c>
      <c r="E8" s="9" t="s">
        <v>41</v>
      </c>
      <c r="F8" s="9" t="s">
        <v>42</v>
      </c>
    </row>
    <row r="9" customFormat="false" ht="15" hidden="false" customHeight="false" outlineLevel="0" collapsed="false">
      <c r="A9" s="13" t="s">
        <v>45</v>
      </c>
      <c r="B9" s="14" t="str">
        <f aca="false">Bear!D573</f>
        <v>unresolved</v>
      </c>
      <c r="C9" s="14" t="n">
        <f aca="false">Base!D573</f>
        <v>61.8951846042724</v>
      </c>
      <c r="D9" s="14" t="n">
        <f aca="false">Bull!D573</f>
        <v>318.967794200833</v>
      </c>
      <c r="E9" s="15" t="str">
        <f aca="false">IF(Inputs!$B$174&gt;0,"check inputs",IF(COUNT(B9:D9)&lt;3,"n/a",SUMPRODUCT(B9:D9,$B$6:$D$6)))</f>
        <v>n/a</v>
      </c>
      <c r="F9" s="14" t="n">
        <f aca="false">Downside!D573</f>
        <v>5.55324297115425</v>
      </c>
    </row>
    <row r="10" customFormat="false" ht="15" hidden="false" customHeight="false" outlineLevel="0" collapsed="false">
      <c r="A10" s="10" t="s">
        <v>46</v>
      </c>
      <c r="B10" s="14" t="n">
        <f aca="false">Deal!B5</f>
        <v>147.49</v>
      </c>
    </row>
    <row r="11" customFormat="false" ht="15" hidden="false" customHeight="false" outlineLevel="0" collapsed="false">
      <c r="A11" s="13" t="s">
        <v>47</v>
      </c>
      <c r="B11" s="14" t="str">
        <f aca="false">Bear!E573</f>
        <v>unresolved</v>
      </c>
      <c r="C11" s="14" t="n">
        <f aca="false">Base!E573</f>
        <v>78.7305969118515</v>
      </c>
      <c r="D11" s="14" t="n">
        <f aca="false">Bull!E573</f>
        <v>363.325890269919</v>
      </c>
      <c r="E11" s="15" t="str">
        <f aca="false">IF(Inputs!$B$174&gt;0,"check inputs",IF(COUNT(B11:D11)&lt;3,"n/a",SUMPRODUCT(B11:D11,$B$6:$D$6)))</f>
        <v>n/a</v>
      </c>
      <c r="F11" s="14" t="n">
        <f aca="false">Downside!E573</f>
        <v>22.3035840552006</v>
      </c>
    </row>
    <row r="12" customFormat="false" ht="15" hidden="false" customHeight="false" outlineLevel="0" collapsed="false">
      <c r="A12" s="10" t="s">
        <v>48</v>
      </c>
      <c r="B12" s="14" t="n">
        <f aca="false">Deal!B6</f>
        <v>374.58</v>
      </c>
    </row>
    <row r="13" customFormat="false" ht="15" hidden="false" customHeight="false" outlineLevel="0" collapsed="false">
      <c r="A13" s="10" t="s">
        <v>49</v>
      </c>
      <c r="B13" s="14" t="str">
        <f aca="false">Bear!E582</f>
        <v>unresolved</v>
      </c>
      <c r="C13" s="14" t="n">
        <f aca="false">Base!E582</f>
        <v>51.8181574148669</v>
      </c>
      <c r="D13" s="14" t="n">
        <f aca="false">Bull!E582</f>
        <v>125.417632108</v>
      </c>
      <c r="E13" s="15" t="str">
        <f aca="false">IF(Inputs!$B$174&gt;0,"check inputs",IF(COUNT(B13:D13)&lt;3,"n/a",SUMPRODUCT(B13:D13,$B$6:$D$6)))</f>
        <v>n/a</v>
      </c>
      <c r="F13" s="14" t="n">
        <f aca="false">Downside!E582</f>
        <v>21.8044064067808</v>
      </c>
    </row>
    <row r="14" customFormat="false" ht="15" hidden="false" customHeight="false" outlineLevel="0" collapsed="false">
      <c r="A14" s="10" t="s">
        <v>50</v>
      </c>
      <c r="B14" s="14" t="n">
        <f aca="false">Bear!E580</f>
        <v>0.260949230034031</v>
      </c>
      <c r="C14" s="14" t="n">
        <f aca="false">Base!E580</f>
        <v>24.961336855368</v>
      </c>
      <c r="D14" s="14" t="n">
        <f aca="false">Bull!E580</f>
        <v>228.795688296719</v>
      </c>
      <c r="E14" s="15" t="n">
        <f aca="false">IF(Inputs!$B$174&gt;0,"check inputs",IF(COUNT(B14:D14)&lt;3,"n/a",SUMPRODUCT(B14:D14,$B$6:$D$6)))</f>
        <v>69.7448278093723</v>
      </c>
      <c r="F14" s="14" t="n">
        <f aca="false">Downside!E580</f>
        <v>0.386869715297957</v>
      </c>
    </row>
    <row r="15" customFormat="false" ht="15" hidden="false" customHeight="false" outlineLevel="0" collapsed="false">
      <c r="A15" s="10" t="s">
        <v>51</v>
      </c>
      <c r="B15" s="16" t="n">
        <f aca="false">Bear!F118</f>
        <v>2</v>
      </c>
      <c r="C15" s="16" t="n">
        <f aca="false">Base!F118</f>
        <v>20</v>
      </c>
      <c r="D15" s="16" t="n">
        <f aca="false">Bull!F118</f>
        <v>80</v>
      </c>
      <c r="F15" s="16" t="n">
        <f aca="false">Downside!F118</f>
        <v>2</v>
      </c>
    </row>
    <row r="16" customFormat="false" ht="15" hidden="false" customHeight="false" outlineLevel="0" collapsed="false">
      <c r="A16" s="10" t="s">
        <v>52</v>
      </c>
      <c r="B16" s="16" t="str">
        <f aca="false">Bear!E584</f>
        <v>no solution</v>
      </c>
      <c r="C16" s="16" t="n">
        <f aca="false">Base!E584</f>
        <v>239.861437390847</v>
      </c>
      <c r="D16" s="16" t="n">
        <f aca="false">Bull!E584</f>
        <v>83.7843667684584</v>
      </c>
      <c r="F16" s="16" t="str">
        <f aca="false">Downside!E584</f>
        <v>no solution</v>
      </c>
    </row>
    <row r="17" customFormat="false" ht="15" hidden="false" customHeight="false" outlineLevel="0" collapsed="false">
      <c r="A17" s="10" t="s">
        <v>53</v>
      </c>
      <c r="B17" s="14" t="str">
        <f aca="false">Bear!E586</f>
        <v>n/a</v>
      </c>
      <c r="C17" s="14" t="n">
        <f aca="false">Base!E586</f>
        <v>0</v>
      </c>
      <c r="D17" s="14" t="n">
        <f aca="false">Bull!E586</f>
        <v>1.48098325780666E-006</v>
      </c>
      <c r="F17" s="14" t="n">
        <f aca="false">Downside!E586</f>
        <v>-352.276415944799</v>
      </c>
    </row>
    <row r="18" customFormat="false" ht="15" hidden="false" customHeight="false" outlineLevel="0" collapsed="false">
      <c r="A18" s="8" t="s">
        <v>54</v>
      </c>
      <c r="B18" s="9" t="s">
        <v>38</v>
      </c>
      <c r="C18" s="9" t="s">
        <v>39</v>
      </c>
      <c r="D18" s="9" t="s">
        <v>40</v>
      </c>
      <c r="E18" s="9"/>
      <c r="F18" s="9" t="s">
        <v>42</v>
      </c>
    </row>
    <row r="19" customFormat="false" ht="15" hidden="false" customHeight="false" outlineLevel="0" collapsed="false">
      <c r="A19" s="10" t="s">
        <v>55</v>
      </c>
      <c r="B19" s="17" t="str">
        <f aca="false">IFERROR(TEXT(Bear!D576,"$0")&amp;" / "&amp;TEXT(Bear!D577,"$0"),"unresolved")</f>
        <v>unresolved / unresolved</v>
      </c>
      <c r="C19" s="17" t="str">
        <f aca="false">IFERROR(TEXT(Base!D576,"$0")&amp;" / "&amp;TEXT(Base!D577,"$0"),"unresolved")</f>
        <v>$88 / $36</v>
      </c>
      <c r="D19" s="17" t="str">
        <f aca="false">IFERROR(TEXT(Bull!D576,"$0")&amp;" / "&amp;TEXT(Bull!D577,"$0"),"unresolved")</f>
        <v>$413 / $225</v>
      </c>
      <c r="F19" s="17" t="str">
        <f aca="false">IFERROR(TEXT(Downside!D576,"$0")&amp;" / "&amp;TEXT(Downside!D577,"$0"),"unresolved")</f>
        <v>$3 / $8</v>
      </c>
    </row>
    <row r="20" customFormat="false" ht="15" hidden="false" customHeight="false" outlineLevel="0" collapsed="false">
      <c r="A20" s="10" t="s">
        <v>56</v>
      </c>
      <c r="B20" s="17" t="str">
        <f aca="false">IFERROR(TEXT(Bear!E576,"$0")&amp;" / "&amp;TEXT(Bear!E577,"$0"),"unresolved")</f>
        <v>unresolved / unresolved</v>
      </c>
      <c r="C20" s="17" t="str">
        <f aca="false">IFERROR(TEXT(Base!E576,"$0")&amp;" / "&amp;TEXT(Base!E577,"$0"),"unresolved")</f>
        <v>$111 / $47</v>
      </c>
      <c r="D20" s="17" t="str">
        <f aca="false">IFERROR(TEXT(Bull!E576,"$0")&amp;" / "&amp;TEXT(Bull!E577,"$0"),"unresolved")</f>
        <v>$497 / $229</v>
      </c>
      <c r="F20" s="17" t="str">
        <f aca="false">IFERROR(TEXT(Downside!E576,"$0")&amp;" / "&amp;TEXT(Downside!E577,"$0"),"unresolved")</f>
        <v>$24 / $20</v>
      </c>
    </row>
    <row r="21" customFormat="false" ht="15" hidden="false" customHeight="false" outlineLevel="0" collapsed="false">
      <c r="A21" s="10" t="s">
        <v>57</v>
      </c>
      <c r="B21" s="17" t="str">
        <f aca="false">IFERROR(TEXT(Bear!F576,"$0")&amp;" / "&amp;TEXT(Bear!F577,"$0"),"unresolved")</f>
        <v>unresolved / unresolved</v>
      </c>
      <c r="C21" s="17" t="str">
        <f aca="false">IFERROR(TEXT(Base!F576,"$0")&amp;" / "&amp;TEXT(Base!F577,"$0"),"unresolved")</f>
        <v>$69 / $32</v>
      </c>
      <c r="D21" s="17" t="str">
        <f aca="false">IFERROR(TEXT(Bull!F576,"$0")&amp;" / "&amp;TEXT(Bull!F577,"$0"),"unresolved")</f>
        <v>$312 / $172</v>
      </c>
      <c r="F21" s="17" t="str">
        <f aca="false">IFERROR(TEXT(Downside!F576,"$0")&amp;" / "&amp;TEXT(Downside!F577,"$0"),"unresolved")</f>
        <v>$6 / $8</v>
      </c>
    </row>
    <row r="22" customFormat="false" ht="15" hidden="false" customHeight="false" outlineLevel="0" collapsed="false">
      <c r="A22" s="10" t="s">
        <v>58</v>
      </c>
      <c r="B22" s="17" t="str">
        <f aca="false">Bear!D563</f>
        <v>18% / 38%</v>
      </c>
      <c r="C22" s="17" t="str">
        <f aca="false">Base!D563</f>
        <v>111% / 127%</v>
      </c>
      <c r="D22" s="17" t="str">
        <f aca="false">Bull!D563</f>
        <v>101% / 101%</v>
      </c>
      <c r="F22" s="17" t="str">
        <f aca="false">Downside!D563</f>
        <v>864% / 188%</v>
      </c>
    </row>
    <row r="23" customFormat="false" ht="15" hidden="false" customHeight="false" outlineLevel="0" collapsed="false">
      <c r="A23" s="10" t="s">
        <v>59</v>
      </c>
      <c r="B23" s="17" t="str">
        <f aca="false">Bear!E563</f>
        <v>130% / 57%</v>
      </c>
      <c r="C23" s="17" t="str">
        <f aca="false">Base!E563</f>
        <v>100% / 99%</v>
      </c>
      <c r="D23" s="17" t="str">
        <f aca="false">Bull!E563</f>
        <v>99% / 98%</v>
      </c>
      <c r="F23" s="17" t="str">
        <f aca="false">Downside!E563</f>
        <v>99% / 98%</v>
      </c>
    </row>
    <row r="24" customFormat="false" ht="15" hidden="false" customHeight="false" outlineLevel="0" collapsed="false">
      <c r="A24" s="10" t="s">
        <v>60</v>
      </c>
      <c r="B24" s="17" t="str">
        <f aca="false">Bear!F563</f>
        <v>-40% / 35%</v>
      </c>
      <c r="C24" s="17" t="str">
        <f aca="false">Base!F563</f>
        <v>106% / 114%</v>
      </c>
      <c r="D24" s="17" t="str">
        <f aca="false">Bull!F563</f>
        <v>100% / 99%</v>
      </c>
      <c r="F24" s="17" t="str">
        <f aca="false">Downside!F563</f>
        <v>175% / 148%</v>
      </c>
    </row>
    <row r="25" customFormat="false" ht="15" hidden="false" customHeight="false" outlineLevel="0" collapsed="false">
      <c r="A25" s="6" t="s">
        <v>61</v>
      </c>
    </row>
    <row r="26" customFormat="false" ht="15" hidden="false" customHeight="false" outlineLevel="0" collapsed="false">
      <c r="A26" s="8" t="s">
        <v>62</v>
      </c>
      <c r="B26" s="9" t="s">
        <v>38</v>
      </c>
      <c r="C26" s="9" t="s">
        <v>39</v>
      </c>
      <c r="D26" s="9" t="s">
        <v>40</v>
      </c>
      <c r="E26" s="9" t="s">
        <v>41</v>
      </c>
      <c r="F26" s="9" t="s">
        <v>42</v>
      </c>
    </row>
    <row r="27" customFormat="false" ht="15" hidden="false" customHeight="false" outlineLevel="0" collapsed="false">
      <c r="A27" s="13" t="s">
        <v>63</v>
      </c>
      <c r="B27" s="16" t="str">
        <f aca="false">Bear!F574</f>
        <v>unresolved</v>
      </c>
      <c r="C27" s="16" t="n">
        <f aca="false">Base!F574</f>
        <v>1331.16047916431</v>
      </c>
      <c r="D27" s="16" t="n">
        <f aca="false">Bull!F574</f>
        <v>6359.44885393756</v>
      </c>
      <c r="E27" s="18" t="str">
        <f aca="false">IF(Inputs!$B$174&gt;0,"check inputs",IF(COUNT(B27:D27)&lt;3,"n/a",SUMPRODUCT(B27:D27,$B$6:$D$6)))</f>
        <v>n/a</v>
      </c>
      <c r="F27" s="16" t="n">
        <f aca="false">Downside!F574</f>
        <v>190.903555259184</v>
      </c>
    </row>
    <row r="28" customFormat="false" ht="15" hidden="false" customHeight="false" outlineLevel="0" collapsed="false">
      <c r="A28" s="10" t="s">
        <v>64</v>
      </c>
      <c r="B28" s="16" t="n">
        <f aca="false">Bear!F590</f>
        <v>23.9028067310791</v>
      </c>
      <c r="C28" s="16" t="n">
        <f aca="false">Base!F590</f>
        <v>141.461380343732</v>
      </c>
      <c r="D28" s="16" t="n">
        <f aca="false">Bull!F590</f>
        <v>396.911975768448</v>
      </c>
      <c r="E28" s="18" t="n">
        <f aca="false">IF(Inputs!$B$174&gt;0,"check inputs",IF(COUNT(B28:D28)&lt;3,"n/a",SUMPRODUCT(B28:D28,$B$6:$D$6)))</f>
        <v>175.934385796748</v>
      </c>
      <c r="F28" s="16" t="n">
        <f aca="false">Downside!F590</f>
        <v>23.9028067310791</v>
      </c>
    </row>
    <row r="29" customFormat="false" ht="15" hidden="false" customHeight="false" outlineLevel="0" collapsed="false">
      <c r="A29" s="13" t="s">
        <v>65</v>
      </c>
      <c r="B29" s="14" t="str">
        <f aca="false">Bear!F573</f>
        <v>unresolved</v>
      </c>
      <c r="C29" s="14" t="n">
        <f aca="false">Base!F573</f>
        <v>50.6818263266908</v>
      </c>
      <c r="D29" s="14" t="n">
        <f aca="false">Bull!F573</f>
        <v>242.12594003022</v>
      </c>
      <c r="E29" s="15" t="str">
        <f aca="false">IF(Inputs!$B$174&gt;0,"check inputs",IF(COUNT(B29:D29)&lt;3,"n/a",SUMPRODUCT(B29:D29,$B$6:$D$6)))</f>
        <v>n/a</v>
      </c>
      <c r="F29" s="14" t="n">
        <f aca="false">Downside!F573</f>
        <v>7.26835042373545</v>
      </c>
    </row>
    <row r="30" customFormat="false" ht="15" hidden="false" customHeight="false" outlineLevel="0" collapsed="false">
      <c r="A30" s="10" t="s">
        <v>66</v>
      </c>
      <c r="E30" s="19" t="str">
        <f aca="false">IFERROR(D29*D6/E29,"n/a")</f>
        <v>n/a</v>
      </c>
    </row>
    <row r="31" customFormat="false" ht="15" hidden="false" customHeight="false" outlineLevel="0" collapsed="false">
      <c r="A31" s="10" t="s">
        <v>67</v>
      </c>
      <c r="B31" s="11" t="str">
        <f aca="false">Bear!F588</f>
        <v>unresolved</v>
      </c>
      <c r="C31" s="11" t="n">
        <f aca="false">Base!F588</f>
        <v>-0.181166892857244</v>
      </c>
      <c r="D31" s="11" t="n">
        <f aca="false">Bull!F588</f>
        <v>-0.240907877120131</v>
      </c>
      <c r="F31" s="11" t="n">
        <f aca="false">Downside!F588</f>
        <v>0.308847904096784</v>
      </c>
    </row>
    <row r="32" customFormat="false" ht="15" hidden="false" customHeight="false" outlineLevel="0" collapsed="false">
      <c r="A32" s="10" t="s">
        <v>68</v>
      </c>
      <c r="B32" s="11" t="str">
        <f aca="false">Bear!F589</f>
        <v>unresolved</v>
      </c>
      <c r="C32" s="11" t="n">
        <f aca="false">Base!F589</f>
        <v>0.96187786811792</v>
      </c>
      <c r="D32" s="11" t="n">
        <f aca="false">Bull!F589</f>
        <v>1.03099207690781</v>
      </c>
      <c r="F32" s="11" t="n">
        <f aca="false">Downside!F589</f>
        <v>-0.00682802569141838</v>
      </c>
    </row>
    <row r="33" customFormat="false" ht="15" hidden="false" customHeight="false" outlineLevel="0" collapsed="false">
      <c r="A33" s="10" t="s">
        <v>69</v>
      </c>
      <c r="B33" s="16" t="str">
        <f aca="false">Bear!F601</f>
        <v>unresolved</v>
      </c>
      <c r="C33" s="16" t="n">
        <f aca="false">Base!F601</f>
        <v>436.023225800005</v>
      </c>
      <c r="D33" s="16" t="n">
        <f aca="false">Bull!F601</f>
        <v>2415.19971652333</v>
      </c>
      <c r="F33" s="16" t="n">
        <f aca="false">Downside!F601</f>
        <v>-21.3415117267976</v>
      </c>
    </row>
    <row r="34" customFormat="false" ht="15" hidden="false" customHeight="false" outlineLevel="0" collapsed="false">
      <c r="A34" s="10" t="s">
        <v>70</v>
      </c>
      <c r="B34" s="16" t="n">
        <f aca="false">Bear!F66</f>
        <v>117.150424629103</v>
      </c>
      <c r="C34" s="16" t="n">
        <f aca="false">Base!F66</f>
        <v>101.508767376617</v>
      </c>
      <c r="D34" s="16" t="n">
        <f aca="false">Bull!F66</f>
        <v>78.8826582841813</v>
      </c>
      <c r="F34" s="16" t="n">
        <f aca="false">Downside!F66</f>
        <v>39.6335763769731</v>
      </c>
    </row>
    <row r="35" customFormat="false" ht="15" hidden="false" customHeight="false" outlineLevel="0" collapsed="false">
      <c r="A35" s="10" t="s">
        <v>71</v>
      </c>
      <c r="B35" s="16" t="n">
        <f aca="false">Bear!F525</f>
        <v>71.0633826655257</v>
      </c>
      <c r="C35" s="16" t="n">
        <f aca="false">Base!F525</f>
        <v>33.9453285822261</v>
      </c>
      <c r="D35" s="16" t="n">
        <f aca="false">Bull!F525</f>
        <v>14.1545614098409</v>
      </c>
      <c r="F35" s="16" t="n">
        <f aca="false">Downside!F525</f>
        <v>0</v>
      </c>
    </row>
    <row r="36" customFormat="false" ht="15" hidden="false" customHeight="false" outlineLevel="0" collapsed="false">
      <c r="A36" s="10" t="s">
        <v>72</v>
      </c>
      <c r="B36" s="20" t="n">
        <f aca="false">Bear!F570</f>
        <v>-0</v>
      </c>
      <c r="C36" s="20" t="n">
        <f aca="false">Base!F570</f>
        <v>0</v>
      </c>
      <c r="D36" s="20" t="n">
        <f aca="false">Bull!F570</f>
        <v>0</v>
      </c>
      <c r="F36" s="20" t="n">
        <f aca="false">Downside!F570</f>
        <v>0</v>
      </c>
    </row>
    <row r="37" customFormat="false" ht="15" hidden="false" customHeight="false" outlineLevel="0" collapsed="false">
      <c r="A37" s="10" t="s">
        <v>73</v>
      </c>
      <c r="B37" s="16" t="n">
        <f aca="false">Bear!F64</f>
        <v>-145.994424629103</v>
      </c>
      <c r="C37" s="16" t="n">
        <f aca="false">Base!F64</f>
        <v>-59.5065128480624</v>
      </c>
      <c r="D37" s="16" t="n">
        <f aca="false">Bull!F64</f>
        <v>155.780440642814</v>
      </c>
      <c r="F37" s="16" t="n">
        <f aca="false">Downside!F64</f>
        <v>-42.7854374990326</v>
      </c>
    </row>
    <row r="38" customFormat="false" ht="15" hidden="false" customHeight="false" outlineLevel="0" collapsed="false">
      <c r="A38" s="10" t="s">
        <v>74</v>
      </c>
      <c r="B38" s="16" t="n">
        <f aca="false">Bear!F523</f>
        <v>-100.256418816805</v>
      </c>
      <c r="C38" s="16" t="n">
        <f aca="false">Base!F523</f>
        <v>35.7338490747846</v>
      </c>
      <c r="D38" s="16" t="n">
        <f aca="false">Bull!F523</f>
        <v>332.822744418102</v>
      </c>
      <c r="F38" s="16" t="n">
        <f aca="false">Downside!F523</f>
        <v>21.1342579509996</v>
      </c>
    </row>
    <row r="39" customFormat="false" ht="15" hidden="false" customHeight="false" outlineLevel="0" collapsed="false">
      <c r="A39" s="10" t="s">
        <v>75</v>
      </c>
      <c r="B39" s="14" t="str">
        <f aca="false">Bear!F600</f>
        <v>unresolved</v>
      </c>
      <c r="C39" s="14" t="n">
        <f aca="false">Base!F600</f>
        <v>48.6850859295211</v>
      </c>
      <c r="D39" s="14" t="n">
        <f aca="false">Bull!F600</f>
        <v>237.696627337272</v>
      </c>
      <c r="E39" s="15" t="str">
        <f aca="false">IF(Inputs!$B$174&gt;0,"check inputs",IF(COUNT(B39:D39)&lt;3,"n/a",SUMPRODUCT(B39:D39,$B$6:$D$6)))</f>
        <v>n/a</v>
      </c>
      <c r="F39" s="14" t="n">
        <f aca="false">Downside!F600</f>
        <v>6.39222388879684</v>
      </c>
    </row>
    <row r="40" customFormat="false" ht="15" hidden="false" customHeight="false" outlineLevel="0" collapsed="false">
      <c r="A40" s="10" t="s">
        <v>76</v>
      </c>
      <c r="B40" s="16" t="n">
        <f aca="false">Bear!F593</f>
        <v>75.6572726072166</v>
      </c>
      <c r="C40" s="16" t="n">
        <f aca="false">Base!F593</f>
        <v>39.2841139293599</v>
      </c>
      <c r="D40" s="16" t="n">
        <f aca="false">Bull!F593</f>
        <v>23.0631592035388</v>
      </c>
      <c r="F40" s="16" t="n">
        <f aca="false">Downside!F593</f>
        <v>0</v>
      </c>
    </row>
    <row r="41" customFormat="false" ht="15" hidden="false" customHeight="false" outlineLevel="0" collapsed="false">
      <c r="A41" s="8" t="s">
        <v>77</v>
      </c>
      <c r="B41" s="9" t="s">
        <v>78</v>
      </c>
      <c r="C41" s="9"/>
      <c r="D41" s="9"/>
      <c r="E41" s="9"/>
      <c r="F41" s="9"/>
    </row>
    <row r="42" customFormat="false" ht="15" hidden="false" customHeight="false" outlineLevel="0" collapsed="false">
      <c r="A42" s="10" t="s">
        <v>79</v>
      </c>
      <c r="B42" s="11" t="n">
        <f aca="false">Deal!B8</f>
        <v>0.2</v>
      </c>
    </row>
    <row r="43" customFormat="false" ht="15" hidden="false" customHeight="false" outlineLevel="0" collapsed="false">
      <c r="A43" s="10" t="s">
        <v>80</v>
      </c>
      <c r="B43" s="21" t="n">
        <f aca="false">Deal!B10</f>
        <v>3.04763712794088</v>
      </c>
    </row>
    <row r="44" customFormat="false" ht="15" hidden="false" customHeight="false" outlineLevel="0" collapsed="false">
      <c r="A44" s="10" t="s">
        <v>81</v>
      </c>
      <c r="B44" s="14" t="n">
        <f aca="false">Deal!B9</f>
        <v>449.496</v>
      </c>
    </row>
    <row r="45" customFormat="false" ht="15" hidden="false" customHeight="false" outlineLevel="0" collapsed="false">
      <c r="A45" s="10" t="s">
        <v>82</v>
      </c>
      <c r="B45" s="11" t="n">
        <f aca="false">Deal!B21</f>
        <v>0.460344896184316</v>
      </c>
    </row>
    <row r="46" customFormat="false" ht="15" hidden="false" customHeight="false" outlineLevel="0" collapsed="false">
      <c r="A46" s="10" t="s">
        <v>83</v>
      </c>
      <c r="B46" s="16" t="n">
        <f aca="false">Deal!B24</f>
        <v>297.216432324468</v>
      </c>
    </row>
    <row r="47" customFormat="false" ht="15" hidden="false" customHeight="false" outlineLevel="0" collapsed="false">
      <c r="A47" s="10" t="s">
        <v>84</v>
      </c>
      <c r="B47" s="16" t="n">
        <f aca="false">Deal!B25</f>
        <v>-160.394364641788</v>
      </c>
    </row>
    <row r="48" customFormat="false" ht="15" hidden="false" customHeight="false" outlineLevel="0" collapsed="false">
      <c r="A48" s="10" t="s">
        <v>85</v>
      </c>
      <c r="B48" s="16" t="n">
        <f aca="false">Deal!B79</f>
        <v>297.216432324467</v>
      </c>
    </row>
    <row r="49" customFormat="false" ht="15" hidden="false" customHeight="false" outlineLevel="0" collapsed="false">
      <c r="A49" s="10" t="s">
        <v>86</v>
      </c>
      <c r="B49" s="16" t="n">
        <f aca="false">Deal!B80</f>
        <v>141.461380343732</v>
      </c>
    </row>
    <row r="50" customFormat="false" ht="15" hidden="false" customHeight="false" outlineLevel="0" collapsed="false">
      <c r="A50" s="10" t="s">
        <v>87</v>
      </c>
      <c r="B50" s="17" t="str">
        <f aca="false">Deal!B81</f>
        <v>No</v>
      </c>
    </row>
    <row r="51" customFormat="false" ht="15" hidden="false" customHeight="false" outlineLevel="0" collapsed="false">
      <c r="A51" s="10" t="s">
        <v>88</v>
      </c>
      <c r="B51" s="17" t="str">
        <f aca="false">TEXT(Deal!B40,"0.0%")&amp;" / "&amp;TEXT(Deal!C40,"0.0%")</f>
        <v>44.7% / 37.1%</v>
      </c>
    </row>
    <row r="52" customFormat="false" ht="15" hidden="false" customHeight="false" outlineLevel="0" collapsed="false">
      <c r="A52" s="10" t="s">
        <v>89</v>
      </c>
      <c r="B52" s="17" t="str">
        <f aca="false">TEXT(Deal!B41,"0.0%")&amp;" / "&amp;TEXT(Deal!C41,"0.0%")</f>
        <v>38.9% / 30.0%</v>
      </c>
    </row>
    <row r="53" customFormat="false" ht="15" hidden="false" customHeight="false" outlineLevel="0" collapsed="false">
      <c r="A53" s="10" t="s">
        <v>90</v>
      </c>
      <c r="B53" s="17" t="str">
        <f aca="false">TEXT(Deal!B43,"0.0%")&amp;" / "&amp;TEXT(Deal!C43,"0.0%")</f>
        <v>86.1% / 74.9%</v>
      </c>
    </row>
    <row r="54" customFormat="false" ht="15" hidden="false" customHeight="false" outlineLevel="0" collapsed="false">
      <c r="A54" s="10" t="s">
        <v>91</v>
      </c>
      <c r="B54" s="11" t="n">
        <f aca="false">Deal!C44</f>
        <v>0.762809143669833</v>
      </c>
    </row>
    <row r="55" customFormat="false" ht="15" hidden="false" customHeight="false" outlineLevel="0" collapsed="false">
      <c r="A55" s="10" t="s">
        <v>92</v>
      </c>
      <c r="B55" s="11" t="n">
        <f aca="false">Deal!B66</f>
        <v>0.355896585674495</v>
      </c>
    </row>
    <row r="56" customFormat="false" ht="15" hidden="false" customHeight="false" outlineLevel="0" collapsed="false">
      <c r="A56" s="10" t="s">
        <v>93</v>
      </c>
      <c r="B56" s="11" t="n">
        <f aca="false">Deal!B67</f>
        <v>0.508423693820708</v>
      </c>
    </row>
    <row r="57" customFormat="false" ht="15" hidden="false" customHeight="false" outlineLevel="0" collapsed="false">
      <c r="A57" s="10" t="s">
        <v>94</v>
      </c>
      <c r="B57" s="17" t="str">
        <f aca="false">TEXT(Deal!B51*1000,"0")&amp;"M of 424M / "&amp;TEXT(Deal!B54,"0.0%")</f>
        <v>0M of 424M / 35.1%</v>
      </c>
    </row>
    <row r="58" customFormat="false" ht="15" hidden="false" customHeight="false" outlineLevel="0" collapsed="false">
      <c r="A58" s="8" t="s">
        <v>95</v>
      </c>
      <c r="B58" s="9" t="s">
        <v>78</v>
      </c>
      <c r="C58" s="9"/>
      <c r="D58" s="9"/>
      <c r="E58" s="9"/>
      <c r="F58" s="9"/>
    </row>
    <row r="59" customFormat="false" ht="15" hidden="false" customHeight="false" outlineLevel="0" collapsed="false">
      <c r="A59" s="10" t="s">
        <v>96</v>
      </c>
      <c r="B59" s="17" t="str">
        <f aca="false">TEXT(Historicals!B45,"$0.0")&amp;" vs "&amp;TEXT((Base!C8-Historicals!B45)/3,"$0.0")</f>
        <v>$35.0 vs $37.7</v>
      </c>
    </row>
    <row r="61" customFormat="false" ht="15" hidden="false" customHeight="false" outlineLevel="0" collapsed="false">
      <c r="A61" s="6" t="s">
        <v>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4" min="2" style="0" width="15"/>
    <col collapsed="false" customWidth="true" hidden="false" outlineLevel="0" max="5" min="5" style="0" width="40"/>
  </cols>
  <sheetData>
    <row r="1" customFormat="false" ht="17.35" hidden="false" customHeight="false" outlineLevel="0" collapsed="false">
      <c r="A1" s="5" t="s">
        <v>98</v>
      </c>
    </row>
    <row r="2" customFormat="false" ht="15" hidden="false" customHeight="false" outlineLevel="0" collapsed="false">
      <c r="A2" s="6" t="s">
        <v>99</v>
      </c>
    </row>
    <row r="4" customFormat="false" ht="15" hidden="false" customHeight="false" outlineLevel="0" collapsed="false">
      <c r="A4" s="8" t="s">
        <v>100</v>
      </c>
      <c r="B4" s="9" t="s">
        <v>101</v>
      </c>
      <c r="C4" s="9" t="s">
        <v>102</v>
      </c>
      <c r="D4" s="9" t="s">
        <v>103</v>
      </c>
      <c r="E4" s="9" t="s">
        <v>104</v>
      </c>
    </row>
    <row r="5" customFormat="false" ht="15" hidden="false" customHeight="false" outlineLevel="0" collapsed="false">
      <c r="A5" s="10" t="s">
        <v>105</v>
      </c>
      <c r="B5" s="22" t="n">
        <v>5.248</v>
      </c>
      <c r="C5" s="22" t="n">
        <v>12.796</v>
      </c>
      <c r="D5" s="23" t="n">
        <f aca="false">C5-B5</f>
        <v>7.548</v>
      </c>
    </row>
    <row r="6" customFormat="false" ht="15" hidden="false" customHeight="false" outlineLevel="0" collapsed="false">
      <c r="A6" s="10" t="s">
        <v>106</v>
      </c>
      <c r="B6" s="22" t="n">
        <v>7.56</v>
      </c>
      <c r="C6" s="22" t="n">
        <v>10.939</v>
      </c>
      <c r="D6" s="23" t="n">
        <f aca="false">C6-B6</f>
        <v>3.379</v>
      </c>
    </row>
    <row r="7" customFormat="false" ht="15" hidden="false" customHeight="false" outlineLevel="0" collapsed="false">
      <c r="A7" s="10" t="s">
        <v>107</v>
      </c>
      <c r="B7" s="22" t="n">
        <v>1.767</v>
      </c>
      <c r="C7" s="22" t="n">
        <v>3.348</v>
      </c>
      <c r="D7" s="23" t="n">
        <f aca="false">C7-B7</f>
        <v>1.581</v>
      </c>
    </row>
    <row r="8" customFormat="false" ht="15" hidden="false" customHeight="false" outlineLevel="0" collapsed="false">
      <c r="A8" s="10" t="s">
        <v>108</v>
      </c>
      <c r="B8" s="24" t="n">
        <f aca="false">B5+B6+B7</f>
        <v>14.575</v>
      </c>
      <c r="C8" s="24" t="n">
        <f aca="false">C5+C6+C7</f>
        <v>27.083</v>
      </c>
      <c r="D8" s="23" t="n">
        <f aca="false">C8-B8</f>
        <v>12.508</v>
      </c>
    </row>
    <row r="9" customFormat="false" ht="15" hidden="false" customHeight="false" outlineLevel="0" collapsed="false">
      <c r="A9" s="10" t="s">
        <v>109</v>
      </c>
      <c r="B9" s="22" t="n">
        <v>2.367</v>
      </c>
      <c r="C9" s="22" t="n">
        <v>5.211</v>
      </c>
      <c r="D9" s="23" t="n">
        <f aca="false">C9-B9</f>
        <v>2.844</v>
      </c>
    </row>
    <row r="10" customFormat="false" ht="15" hidden="false" customHeight="false" outlineLevel="0" collapsed="false">
      <c r="A10" s="10" t="s">
        <v>110</v>
      </c>
      <c r="B10" s="22" t="n">
        <v>0.431</v>
      </c>
      <c r="C10" s="22" t="n">
        <v>-3.295</v>
      </c>
      <c r="D10" s="23" t="n">
        <f aca="false">C10-B10</f>
        <v>-3.726</v>
      </c>
    </row>
    <row r="11" customFormat="false" ht="15" hidden="false" customHeight="false" outlineLevel="0" collapsed="false">
      <c r="A11" s="10" t="s">
        <v>111</v>
      </c>
      <c r="B11" s="22" t="n">
        <v>-0.007</v>
      </c>
      <c r="C11" s="22" t="n">
        <v>-1.211</v>
      </c>
      <c r="D11" s="23" t="n">
        <f aca="false">C11-B11</f>
        <v>-1.204</v>
      </c>
    </row>
    <row r="12" customFormat="false" ht="15" hidden="false" customHeight="false" outlineLevel="0" collapsed="false">
      <c r="A12" s="10" t="s">
        <v>112</v>
      </c>
      <c r="B12" s="24" t="n">
        <f aca="false">B9+B10+B11</f>
        <v>2.791</v>
      </c>
      <c r="C12" s="24" t="n">
        <f aca="false">C9+C10+C11</f>
        <v>0.705</v>
      </c>
      <c r="D12" s="23" t="n">
        <f aca="false">C12-B12</f>
        <v>-2.086</v>
      </c>
      <c r="E12" s="6" t="s">
        <v>113</v>
      </c>
    </row>
    <row r="13" customFormat="false" ht="15" hidden="false" customHeight="false" outlineLevel="0" collapsed="false">
      <c r="A13" s="10" t="s">
        <v>114</v>
      </c>
      <c r="B13" s="22" t="n">
        <v>0.986</v>
      </c>
      <c r="C13" s="22" t="n">
        <v>2.574</v>
      </c>
      <c r="D13" s="23" t="n">
        <f aca="false">C13-B13</f>
        <v>1.588</v>
      </c>
    </row>
    <row r="14" customFormat="false" ht="15" hidden="false" customHeight="false" outlineLevel="0" collapsed="false">
      <c r="A14" s="10" t="s">
        <v>115</v>
      </c>
      <c r="B14" s="22" t="n">
        <v>2.473</v>
      </c>
      <c r="C14" s="22" t="n">
        <v>5.851</v>
      </c>
      <c r="D14" s="23" t="n">
        <f aca="false">C14-B14</f>
        <v>3.378</v>
      </c>
    </row>
    <row r="15" customFormat="false" ht="15" hidden="false" customHeight="false" outlineLevel="0" collapsed="false">
      <c r="A15" s="10" t="s">
        <v>116</v>
      </c>
      <c r="B15" s="22" t="n">
        <v>0.185</v>
      </c>
      <c r="C15" s="22" t="n">
        <v>0.509</v>
      </c>
      <c r="D15" s="23" t="n">
        <f aca="false">C15-B15</f>
        <v>0.324</v>
      </c>
    </row>
    <row r="16" customFormat="false" ht="15" hidden="false" customHeight="false" outlineLevel="0" collapsed="false">
      <c r="A16" s="10" t="s">
        <v>117</v>
      </c>
      <c r="B16" s="24" t="n">
        <f aca="false">B13+B14+B15</f>
        <v>3.644</v>
      </c>
      <c r="C16" s="24" t="n">
        <f aca="false">C13+C14+C15</f>
        <v>8.934</v>
      </c>
      <c r="D16" s="23" t="n">
        <f aca="false">C16-B16</f>
        <v>5.29</v>
      </c>
    </row>
    <row r="17" customFormat="false" ht="15" hidden="false" customHeight="false" outlineLevel="0" collapsed="false">
      <c r="A17" s="10" t="s">
        <v>118</v>
      </c>
      <c r="B17" s="22" t="n">
        <v>1.146</v>
      </c>
      <c r="C17" s="22" t="n">
        <v>2.616</v>
      </c>
      <c r="D17" s="23" t="n">
        <f aca="false">C17-B17</f>
        <v>1.47</v>
      </c>
    </row>
    <row r="18" customFormat="false" ht="15" hidden="false" customHeight="false" outlineLevel="0" collapsed="false">
      <c r="A18" s="10" t="s">
        <v>119</v>
      </c>
      <c r="B18" s="22" t="n">
        <v>1.217</v>
      </c>
      <c r="C18" s="22" t="n">
        <v>1.217</v>
      </c>
      <c r="D18" s="23" t="n">
        <f aca="false">C18-B18</f>
        <v>0</v>
      </c>
      <c r="E18" s="6" t="s">
        <v>120</v>
      </c>
    </row>
    <row r="19" customFormat="false" ht="15" hidden="false" customHeight="false" outlineLevel="0" collapsed="false">
      <c r="A19" s="10" t="s">
        <v>121</v>
      </c>
      <c r="B19" s="22" t="n">
        <v>1.543</v>
      </c>
      <c r="C19" s="22" t="n">
        <v>4.242</v>
      </c>
      <c r="D19" s="23" t="n">
        <f aca="false">C19-B19</f>
        <v>2.699</v>
      </c>
    </row>
    <row r="20" customFormat="false" ht="15" hidden="false" customHeight="false" outlineLevel="0" collapsed="false">
      <c r="A20" s="10" t="s">
        <v>122</v>
      </c>
      <c r="B20" s="22" t="n">
        <v>16.444</v>
      </c>
      <c r="C20" s="22" t="n">
        <v>39.995</v>
      </c>
      <c r="D20" s="23" t="n">
        <f aca="false">C20-B20</f>
        <v>23.551</v>
      </c>
    </row>
    <row r="21" customFormat="false" ht="15" hidden="false" customHeight="false" outlineLevel="0" collapsed="false">
      <c r="A21" s="10" t="s">
        <v>123</v>
      </c>
      <c r="B21" s="22" t="n">
        <v>1.606</v>
      </c>
      <c r="C21" s="22" t="n">
        <v>3.832</v>
      </c>
      <c r="D21" s="23" t="n">
        <f aca="false">C21-B21</f>
        <v>2.226</v>
      </c>
    </row>
    <row r="22" customFormat="false" ht="15" hidden="false" customHeight="false" outlineLevel="0" collapsed="false">
      <c r="A22" s="10" t="s">
        <v>124</v>
      </c>
      <c r="B22" s="24" t="n">
        <f aca="false">B19+B20+B21</f>
        <v>19.593</v>
      </c>
      <c r="C22" s="24" t="n">
        <f aca="false">C19+C20+C21</f>
        <v>48.069</v>
      </c>
      <c r="D22" s="23" t="n">
        <f aca="false">C22-B22</f>
        <v>28.476</v>
      </c>
    </row>
    <row r="23" customFormat="false" ht="15" hidden="false" customHeight="false" outlineLevel="0" collapsed="false">
      <c r="A23" s="10" t="s">
        <v>125</v>
      </c>
      <c r="C23" s="25" t="n">
        <f aca="false">C12-0.705</f>
        <v>0</v>
      </c>
    </row>
    <row r="24" customFormat="false" ht="15" hidden="false" customHeight="false" outlineLevel="0" collapsed="false">
      <c r="A24" s="10" t="s">
        <v>126</v>
      </c>
      <c r="C24" s="22" t="n">
        <v>13.097</v>
      </c>
    </row>
    <row r="25" customFormat="false" ht="15" hidden="false" customHeight="false" outlineLevel="0" collapsed="false">
      <c r="A25" s="10" t="s">
        <v>127</v>
      </c>
      <c r="C25" s="23" t="n">
        <f aca="false">C12+C16+C17+C18</f>
        <v>13.472</v>
      </c>
    </row>
    <row r="26" customFormat="false" ht="15" hidden="false" customHeight="false" outlineLevel="0" collapsed="false">
      <c r="A26" s="10" t="s">
        <v>128</v>
      </c>
      <c r="C26" s="23" t="n">
        <f aca="false">C24-C25</f>
        <v>-0.375000000000002</v>
      </c>
    </row>
    <row r="27" customFormat="false" ht="15" hidden="false" customHeight="false" outlineLevel="0" collapsed="false">
      <c r="A27" s="10" t="s">
        <v>129</v>
      </c>
      <c r="B27" s="22" t="n">
        <v>1.968</v>
      </c>
      <c r="C27" s="22" t="n">
        <v>1.426</v>
      </c>
      <c r="E27" s="6" t="s">
        <v>130</v>
      </c>
    </row>
    <row r="29" customFormat="false" ht="15" hidden="false" customHeight="false" outlineLevel="0" collapsed="false">
      <c r="A29" s="8" t="s">
        <v>131</v>
      </c>
      <c r="B29" s="9" t="s">
        <v>132</v>
      </c>
      <c r="C29" s="9" t="s">
        <v>133</v>
      </c>
    </row>
    <row r="30" customFormat="false" ht="15" hidden="false" customHeight="false" outlineLevel="0" collapsed="false">
      <c r="A30" s="10" t="s">
        <v>134</v>
      </c>
      <c r="B30" s="26" t="n">
        <v>7.6</v>
      </c>
      <c r="C30" s="26" t="n">
        <v>11.39</v>
      </c>
    </row>
    <row r="31" customFormat="false" ht="15" hidden="false" customHeight="false" outlineLevel="0" collapsed="false">
      <c r="A31" s="10" t="s">
        <v>135</v>
      </c>
      <c r="B31" s="26" t="n">
        <v>3.8</v>
      </c>
      <c r="C31" s="26" t="n">
        <v>4.09</v>
      </c>
    </row>
    <row r="32" customFormat="false" ht="15" hidden="false" customHeight="false" outlineLevel="0" collapsed="false">
      <c r="A32" s="10" t="s">
        <v>136</v>
      </c>
      <c r="B32" s="26" t="n">
        <v>2.62</v>
      </c>
      <c r="C32" s="26" t="n">
        <v>3.2</v>
      </c>
    </row>
    <row r="33" customFormat="false" ht="15" hidden="false" customHeight="false" outlineLevel="0" collapsed="false">
      <c r="A33" s="10" t="s">
        <v>137</v>
      </c>
      <c r="B33" s="26" t="n">
        <v>11.16</v>
      </c>
      <c r="C33" s="26" t="n">
        <v>20.74</v>
      </c>
    </row>
    <row r="35" customFormat="false" ht="15" hidden="false" customHeight="false" outlineLevel="0" collapsed="false">
      <c r="A35" s="8" t="s">
        <v>138</v>
      </c>
      <c r="B35" s="9" t="s">
        <v>78</v>
      </c>
      <c r="C35" s="9" t="s">
        <v>104</v>
      </c>
    </row>
    <row r="36" customFormat="false" ht="15" hidden="false" customHeight="false" outlineLevel="0" collapsed="false">
      <c r="A36" s="10" t="s">
        <v>139</v>
      </c>
      <c r="B36" s="22" t="n">
        <v>51.294</v>
      </c>
      <c r="C36" s="6"/>
    </row>
    <row r="37" customFormat="false" ht="15" hidden="false" customHeight="false" outlineLevel="0" collapsed="false">
      <c r="A37" s="10" t="s">
        <v>140</v>
      </c>
      <c r="B37" s="22" t="n">
        <v>38.561</v>
      </c>
      <c r="C37" s="6"/>
    </row>
    <row r="38" customFormat="false" ht="15" hidden="false" customHeight="false" outlineLevel="0" collapsed="false">
      <c r="A38" s="10" t="s">
        <v>141</v>
      </c>
      <c r="B38" s="22" t="n">
        <v>38.844</v>
      </c>
      <c r="C38" s="6" t="s">
        <v>142</v>
      </c>
    </row>
    <row r="39" customFormat="false" ht="15" hidden="false" customHeight="false" outlineLevel="0" collapsed="false">
      <c r="A39" s="10" t="s">
        <v>143</v>
      </c>
      <c r="B39" s="27" t="n">
        <v>8.246541218</v>
      </c>
      <c r="C39" s="6" t="s">
        <v>144</v>
      </c>
    </row>
    <row r="40" customFormat="false" ht="15" hidden="false" customHeight="false" outlineLevel="0" collapsed="false">
      <c r="A40" s="10" t="s">
        <v>145</v>
      </c>
      <c r="B40" s="27" t="n">
        <v>5.334522491</v>
      </c>
      <c r="C40" s="6" t="s">
        <v>144</v>
      </c>
    </row>
    <row r="41" customFormat="false" ht="15" hidden="false" customHeight="false" outlineLevel="0" collapsed="false">
      <c r="A41" s="10" t="s">
        <v>146</v>
      </c>
      <c r="B41" s="25" t="n">
        <f aca="false">12.475-11.942</f>
        <v>0.533</v>
      </c>
      <c r="C41" s="6" t="s">
        <v>147</v>
      </c>
    </row>
    <row r="42" customFormat="false" ht="15" hidden="false" customHeight="false" outlineLevel="0" collapsed="false">
      <c r="A42" s="10" t="s">
        <v>148</v>
      </c>
      <c r="B42" s="28" t="n">
        <v>1.333</v>
      </c>
      <c r="C42" s="6" t="s">
        <v>149</v>
      </c>
    </row>
    <row r="43" customFormat="false" ht="15" hidden="false" customHeight="false" outlineLevel="0" collapsed="false">
      <c r="A43" s="10" t="s">
        <v>150</v>
      </c>
      <c r="B43" s="29" t="n">
        <v>147.49</v>
      </c>
      <c r="C43" s="6"/>
    </row>
    <row r="44" customFormat="false" ht="15" hidden="false" customHeight="false" outlineLevel="0" collapsed="false">
      <c r="A44" s="10" t="s">
        <v>151</v>
      </c>
      <c r="B44" s="26" t="n">
        <v>37.5</v>
      </c>
      <c r="C44" s="6" t="s">
        <v>152</v>
      </c>
    </row>
    <row r="45" customFormat="false" ht="15" hidden="false" customHeight="false" outlineLevel="0" collapsed="false">
      <c r="A45" s="10" t="s">
        <v>153</v>
      </c>
      <c r="B45" s="26" t="n">
        <v>35</v>
      </c>
      <c r="C45" s="6" t="s">
        <v>154</v>
      </c>
    </row>
    <row r="46" customFormat="false" ht="15" hidden="false" customHeight="false" outlineLevel="0" collapsed="false">
      <c r="A46" s="10" t="s">
        <v>155</v>
      </c>
      <c r="B46" s="22" t="n">
        <v>9.728</v>
      </c>
      <c r="C46" s="6" t="s">
        <v>156</v>
      </c>
    </row>
    <row r="47" customFormat="false" ht="15" hidden="false" customHeight="false" outlineLevel="0" collapsed="false">
      <c r="A47" s="10" t="s">
        <v>157</v>
      </c>
      <c r="B47" s="22" t="n">
        <v>5.234</v>
      </c>
      <c r="C47" s="6"/>
    </row>
    <row r="48" customFormat="false" ht="15" hidden="false" customHeight="false" outlineLevel="0" collapsed="false">
      <c r="A48" s="10" t="s">
        <v>158</v>
      </c>
      <c r="B48" s="22" t="n">
        <v>3.586</v>
      </c>
      <c r="C48" s="6" t="s">
        <v>159</v>
      </c>
    </row>
    <row r="49" customFormat="false" ht="15" hidden="false" customHeight="false" outlineLevel="0" collapsed="false">
      <c r="A49" s="10" t="s">
        <v>160</v>
      </c>
      <c r="B49" s="22" t="n">
        <v>2.104</v>
      </c>
      <c r="C49" s="6" t="s">
        <v>161</v>
      </c>
    </row>
    <row r="50" customFormat="false" ht="15" hidden="false" customHeight="false" outlineLevel="0" collapsed="false">
      <c r="A50" s="13" t="s">
        <v>162</v>
      </c>
      <c r="B50" s="30" t="n">
        <f aca="false">B39+B40</f>
        <v>13.581063709</v>
      </c>
    </row>
    <row r="51" customFormat="false" ht="15" hidden="false" customHeight="false" outlineLevel="0" collapsed="false">
      <c r="A51" s="13" t="s">
        <v>163</v>
      </c>
      <c r="B51" s="24" t="n">
        <f aca="false">B36+B37-B38</f>
        <v>51.011</v>
      </c>
    </row>
    <row r="53" customFormat="false" ht="15" hidden="false" customHeight="false" outlineLevel="0" collapsed="false">
      <c r="A53" s="8" t="s">
        <v>164</v>
      </c>
      <c r="B53" s="9" t="s">
        <v>165</v>
      </c>
      <c r="C53" s="9" t="s">
        <v>166</v>
      </c>
      <c r="D53" s="9" t="s">
        <v>167</v>
      </c>
      <c r="E53" s="9" t="s">
        <v>168</v>
      </c>
    </row>
    <row r="54" customFormat="false" ht="15" hidden="false" customHeight="false" outlineLevel="0" collapsed="false">
      <c r="A54" s="10" t="s">
        <v>169</v>
      </c>
      <c r="B54" s="31" t="n">
        <v>0.158</v>
      </c>
      <c r="C54" s="32" t="n">
        <f aca="false">((0.158-0.065)*27.65+0.065*1.49)/0.158</f>
        <v>16.8879746835443</v>
      </c>
      <c r="D54" s="33" t="n">
        <f aca="false">B54*MAX(0,1-C54/$B$43)</f>
        <v>0.139908603973151</v>
      </c>
      <c r="E54" s="6" t="s">
        <v>170</v>
      </c>
    </row>
    <row r="55" customFormat="false" ht="15" hidden="false" customHeight="false" outlineLevel="0" collapsed="false">
      <c r="A55" s="10" t="s">
        <v>171</v>
      </c>
      <c r="B55" s="31" t="n">
        <v>0.35</v>
      </c>
      <c r="C55" s="29" t="n">
        <v>8.22</v>
      </c>
      <c r="D55" s="33" t="n">
        <f aca="false">B55*MAX(0,1-C55/$B$43)</f>
        <v>0.330493592785952</v>
      </c>
      <c r="E55" s="6" t="s">
        <v>172</v>
      </c>
    </row>
    <row r="56" customFormat="false" ht="15" hidden="false" customHeight="false" outlineLevel="0" collapsed="false">
      <c r="A56" s="10" t="s">
        <v>173</v>
      </c>
      <c r="B56" s="31" t="n">
        <v>0.142</v>
      </c>
      <c r="C56" s="29" t="n">
        <v>0</v>
      </c>
      <c r="D56" s="33" t="n">
        <f aca="false">B56*MAX(0,1-C56/$B$43)</f>
        <v>0.142</v>
      </c>
      <c r="E56" s="6" t="s">
        <v>174</v>
      </c>
    </row>
    <row r="57" customFormat="false" ht="15" hidden="false" customHeight="false" outlineLevel="0" collapsed="false">
      <c r="A57" s="13" t="s">
        <v>175</v>
      </c>
      <c r="D57" s="34" t="n">
        <f aca="false">SUM(D54:D56)</f>
        <v>0.612402196759102</v>
      </c>
    </row>
    <row r="58" customFormat="false" ht="15" hidden="false" customHeight="false" outlineLevel="0" collapsed="false">
      <c r="A58" s="10" t="s">
        <v>176</v>
      </c>
      <c r="B58" s="31" t="n">
        <v>0.065</v>
      </c>
      <c r="C58" s="29" t="n">
        <v>1.49</v>
      </c>
      <c r="D58" s="33" t="n">
        <f aca="false">B58*MAX(0,1-C58/$B$43)</f>
        <v>0.0643433453115466</v>
      </c>
      <c r="E58" s="6" t="s">
        <v>177</v>
      </c>
    </row>
    <row r="59" customFormat="false" ht="15" hidden="false" customHeight="false" outlineLevel="0" collapsed="false">
      <c r="A59" s="10" t="s">
        <v>178</v>
      </c>
      <c r="B59" s="31" t="n">
        <v>0.028</v>
      </c>
      <c r="C59" s="29" t="n">
        <v>0</v>
      </c>
      <c r="D59" s="33" t="n">
        <f aca="false">B59*MAX(0,1-C59/$B$43)</f>
        <v>0.028</v>
      </c>
      <c r="E59" s="6" t="s">
        <v>177</v>
      </c>
    </row>
    <row r="60" customFormat="false" ht="15" hidden="false" customHeight="false" outlineLevel="0" collapsed="false">
      <c r="A60" s="10" t="s">
        <v>179</v>
      </c>
      <c r="B60" s="31" t="n">
        <v>0.096</v>
      </c>
      <c r="C60" s="29" t="n">
        <v>0</v>
      </c>
      <c r="D60" s="33" t="n">
        <f aca="false">0</f>
        <v>0</v>
      </c>
      <c r="E60" s="6" t="s">
        <v>180</v>
      </c>
    </row>
    <row r="61" customFormat="false" ht="15" hidden="false" customHeight="false" outlineLevel="0" collapsed="false">
      <c r="A61" s="10" t="s">
        <v>181</v>
      </c>
      <c r="D61" s="33" t="n">
        <f aca="false">D58+D59</f>
        <v>0.0923433453115466</v>
      </c>
    </row>
    <row r="62" customFormat="false" ht="15" hidden="false" customHeight="false" outlineLevel="0" collapsed="false">
      <c r="A62" s="10" t="s">
        <v>182</v>
      </c>
      <c r="D62" s="33" t="n">
        <f aca="false">D57-B41</f>
        <v>0.0794021967591028</v>
      </c>
    </row>
    <row r="63" customFormat="false" ht="15" hidden="false" customHeight="false" outlineLevel="0" collapsed="false">
      <c r="A63" s="8" t="s">
        <v>183</v>
      </c>
      <c r="B63" s="9" t="s">
        <v>184</v>
      </c>
      <c r="C63" s="9" t="s">
        <v>185</v>
      </c>
      <c r="D63" s="9" t="s">
        <v>186</v>
      </c>
      <c r="E63" s="9" t="s">
        <v>187</v>
      </c>
    </row>
    <row r="64" customFormat="false" ht="15" hidden="false" customHeight="false" outlineLevel="0" collapsed="false">
      <c r="A64" s="10" t="s">
        <v>188</v>
      </c>
      <c r="B64" s="33" t="n">
        <f aca="false">0.13379364-0.008510615+0.065</f>
        <v>0.190283025</v>
      </c>
      <c r="C64" s="31" t="n">
        <v>0.158</v>
      </c>
      <c r="D64" s="33" t="n">
        <f aca="false">B64-C64</f>
        <v>0.032283025</v>
      </c>
      <c r="E64" s="6" t="s">
        <v>189</v>
      </c>
    </row>
    <row r="65" customFormat="false" ht="15" hidden="false" customHeight="false" outlineLevel="0" collapsed="false">
      <c r="A65" s="10" t="s">
        <v>190</v>
      </c>
      <c r="B65" s="33" t="n">
        <f aca="false">0.358169015-0.00074523</f>
        <v>0.357423785</v>
      </c>
      <c r="C65" s="31" t="n">
        <v>0.35</v>
      </c>
      <c r="D65" s="33" t="n">
        <f aca="false">B65-C65</f>
        <v>0.00742378500000002</v>
      </c>
      <c r="E65" s="6" t="s">
        <v>191</v>
      </c>
    </row>
    <row r="66" customFormat="false" ht="15" hidden="false" customHeight="false" outlineLevel="0" collapsed="false">
      <c r="A66" s="10" t="s">
        <v>192</v>
      </c>
      <c r="B66" s="33" t="n">
        <f aca="false">0.12845537+0.00093145+0.02384292-0.012774325-0.000069945+0.028</f>
        <v>0.16838547</v>
      </c>
      <c r="C66" s="31" t="n">
        <v>0.142</v>
      </c>
      <c r="D66" s="33" t="n">
        <f aca="false">B66-C66</f>
        <v>0.02638547</v>
      </c>
      <c r="E66" s="6" t="s">
        <v>193</v>
      </c>
    </row>
    <row r="67" customFormat="false" ht="15" hidden="false" customHeight="false" outlineLevel="0" collapsed="false">
      <c r="A67" s="10" t="s">
        <v>194</v>
      </c>
      <c r="B67" s="22" t="n">
        <v>2.274</v>
      </c>
      <c r="C67" s="22" t="n">
        <v>9.096</v>
      </c>
      <c r="D67" s="22" t="n">
        <v>9.096</v>
      </c>
      <c r="E67" s="22" t="n">
        <v>5.002</v>
      </c>
      <c r="F67" s="6" t="s">
        <v>195</v>
      </c>
    </row>
    <row r="68" customFormat="false" ht="15" hidden="false" customHeight="false" outlineLevel="0" collapsed="false">
      <c r="A68" s="6" t="s">
        <v>196</v>
      </c>
    </row>
    <row r="70" customFormat="false" ht="15" hidden="false" customHeight="false" outlineLevel="0" collapsed="false">
      <c r="A70" s="8" t="s">
        <v>197</v>
      </c>
      <c r="B70" s="9" t="s">
        <v>101</v>
      </c>
      <c r="C70" s="9" t="s">
        <v>102</v>
      </c>
      <c r="D70" s="9"/>
      <c r="E70" s="9" t="s">
        <v>104</v>
      </c>
    </row>
    <row r="71" customFormat="false" ht="15" hidden="false" customHeight="false" outlineLevel="0" collapsed="false">
      <c r="A71" s="10" t="s">
        <v>108</v>
      </c>
      <c r="B71" s="22" t="n">
        <v>28.046</v>
      </c>
      <c r="C71" s="22" t="n">
        <v>78.669</v>
      </c>
      <c r="E71" s="6"/>
    </row>
    <row r="72" customFormat="false" ht="15" hidden="false" customHeight="false" outlineLevel="0" collapsed="false">
      <c r="A72" s="10" t="s">
        <v>198</v>
      </c>
      <c r="B72" s="22" t="n">
        <v>0.718</v>
      </c>
      <c r="C72" s="22" t="n">
        <v>2.057</v>
      </c>
      <c r="E72" s="6"/>
    </row>
    <row r="73" customFormat="false" ht="15" hidden="false" customHeight="false" outlineLevel="0" collapsed="false">
      <c r="A73" s="10" t="s">
        <v>199</v>
      </c>
      <c r="B73" s="23" t="n">
        <f aca="false">20.094+0.113+0.353</f>
        <v>20.56</v>
      </c>
      <c r="C73" s="23" t="n">
        <f aca="false">55.573+0.639+1.098</f>
        <v>57.31</v>
      </c>
      <c r="E73" s="6" t="s">
        <v>200</v>
      </c>
    </row>
    <row r="74" customFormat="false" ht="15" hidden="false" customHeight="false" outlineLevel="0" collapsed="false">
      <c r="A74" s="10" t="s">
        <v>201</v>
      </c>
      <c r="B74" s="22" t="n">
        <v>2.881</v>
      </c>
      <c r="C74" s="22" t="n">
        <v>8.428</v>
      </c>
      <c r="E74" s="6"/>
    </row>
    <row r="75" customFormat="false" ht="15" hidden="false" customHeight="false" outlineLevel="0" collapsed="false">
      <c r="A75" s="10" t="s">
        <v>202</v>
      </c>
      <c r="B75" s="22" t="n">
        <v>4.605</v>
      </c>
      <c r="C75" s="22" t="n">
        <v>12.931</v>
      </c>
      <c r="E75" s="6"/>
    </row>
    <row r="76" customFormat="false" ht="15" hidden="false" customHeight="false" outlineLevel="0" collapsed="false">
      <c r="A76" s="10" t="s">
        <v>203</v>
      </c>
      <c r="C76" s="22" t="n">
        <v>5.061</v>
      </c>
      <c r="E76" s="6"/>
    </row>
    <row r="77" customFormat="false" ht="15" hidden="false" customHeight="false" outlineLevel="0" collapsed="false">
      <c r="A77" s="10" t="s">
        <v>204</v>
      </c>
      <c r="C77" s="22" t="n">
        <v>3.346</v>
      </c>
      <c r="E77" s="6"/>
    </row>
    <row r="78" customFormat="false" ht="15" hidden="false" customHeight="false" outlineLevel="0" collapsed="false">
      <c r="A78" s="10" t="s">
        <v>137</v>
      </c>
      <c r="C78" s="22" t="n">
        <v>13.014</v>
      </c>
      <c r="E78" s="6"/>
    </row>
    <row r="79" customFormat="false" ht="15" hidden="false" customHeight="false" outlineLevel="0" collapsed="false">
      <c r="A79" s="10" t="s">
        <v>205</v>
      </c>
      <c r="C79" s="22" t="n">
        <v>14.897</v>
      </c>
      <c r="E79" s="6"/>
    </row>
    <row r="80" customFormat="false" ht="15" hidden="false" customHeight="false" outlineLevel="0" collapsed="false">
      <c r="A80" s="10" t="s">
        <v>206</v>
      </c>
      <c r="B80" s="22" t="n">
        <v>0.221</v>
      </c>
      <c r="C80" s="22" t="n">
        <v>0.626</v>
      </c>
      <c r="E80" s="6" t="s">
        <v>207</v>
      </c>
    </row>
    <row r="81" customFormat="false" ht="15" hidden="false" customHeight="false" outlineLevel="0" collapsed="false">
      <c r="A81" s="10" t="s">
        <v>208</v>
      </c>
      <c r="B81" s="22" t="n">
        <v>0.171</v>
      </c>
      <c r="C81" s="22" t="n">
        <v>0.478</v>
      </c>
      <c r="E81" s="6"/>
    </row>
    <row r="82" customFormat="false" ht="15" hidden="false" customHeight="false" outlineLevel="0" collapsed="false">
      <c r="A82" s="10" t="s">
        <v>209</v>
      </c>
      <c r="C82" s="25" t="n">
        <f aca="false">C73+C74+C75-C71</f>
        <v>0</v>
      </c>
    </row>
    <row r="83" customFormat="false" ht="15" hidden="false" customHeight="false" outlineLevel="0" collapsed="false">
      <c r="A83" s="10" t="s">
        <v>210</v>
      </c>
      <c r="C83" s="19" t="n">
        <f aca="false">1-C81/C80</f>
        <v>0.236421725239617</v>
      </c>
    </row>
    <row r="84" customFormat="false" ht="15" hidden="false" customHeight="false" outlineLevel="0" collapsed="false">
      <c r="A84" s="10" t="s">
        <v>211</v>
      </c>
      <c r="C84" s="23" t="n">
        <f aca="false">C79-C72-C76-C77</f>
        <v>4.433</v>
      </c>
    </row>
    <row r="86" customFormat="false" ht="15" hidden="false" customHeight="false" outlineLevel="0" collapsed="false">
      <c r="A86" s="8" t="s">
        <v>212</v>
      </c>
      <c r="B86" s="9" t="s">
        <v>78</v>
      </c>
      <c r="C86" s="9" t="s">
        <v>104</v>
      </c>
    </row>
    <row r="87" customFormat="false" ht="15" hidden="false" customHeight="false" outlineLevel="0" collapsed="false">
      <c r="A87" s="10" t="s">
        <v>213</v>
      </c>
      <c r="B87" s="22" t="n">
        <v>45.447</v>
      </c>
      <c r="C87" s="6"/>
    </row>
    <row r="88" customFormat="false" ht="15" hidden="false" customHeight="false" outlineLevel="0" collapsed="false">
      <c r="A88" s="10" t="s">
        <v>141</v>
      </c>
      <c r="B88" s="22" t="n">
        <v>9.523</v>
      </c>
      <c r="C88" s="6"/>
    </row>
    <row r="89" customFormat="false" ht="15" hidden="false" customHeight="false" outlineLevel="0" collapsed="false">
      <c r="A89" s="10" t="s">
        <v>214</v>
      </c>
      <c r="B89" s="27" t="n">
        <v>3.952757946</v>
      </c>
      <c r="C89" s="6" t="s">
        <v>215</v>
      </c>
    </row>
    <row r="90" customFormat="false" ht="15" hidden="false" customHeight="false" outlineLevel="0" collapsed="false">
      <c r="A90" s="10" t="s">
        <v>216</v>
      </c>
      <c r="B90" s="25" t="n">
        <f aca="false">3.526-3.227</f>
        <v>0.299</v>
      </c>
      <c r="C90" s="6" t="s">
        <v>217</v>
      </c>
    </row>
    <row r="91" customFormat="false" ht="15" hidden="false" customHeight="false" outlineLevel="0" collapsed="false">
      <c r="A91" s="10" t="s">
        <v>218</v>
      </c>
      <c r="B91" s="25" t="n">
        <f aca="false">3.541-3.24</f>
        <v>0.301</v>
      </c>
      <c r="C91" s="6" t="s">
        <v>219</v>
      </c>
    </row>
    <row r="92" customFormat="false" ht="15" hidden="false" customHeight="false" outlineLevel="0" collapsed="false">
      <c r="A92" s="10" t="s">
        <v>220</v>
      </c>
      <c r="B92" s="28" t="n">
        <v>0.286428773</v>
      </c>
      <c r="C92" s="6" t="s">
        <v>221</v>
      </c>
    </row>
    <row r="93" customFormat="false" ht="15" hidden="false" customHeight="false" outlineLevel="0" collapsed="false">
      <c r="A93" s="10" t="s">
        <v>222</v>
      </c>
      <c r="B93" s="25" t="n">
        <f aca="false">B91-B92</f>
        <v>0.0145712269999997</v>
      </c>
      <c r="C93" s="6" t="s">
        <v>223</v>
      </c>
    </row>
    <row r="94" customFormat="false" ht="15" hidden="false" customHeight="false" outlineLevel="0" collapsed="false">
      <c r="A94" s="10" t="s">
        <v>224</v>
      </c>
      <c r="B94" s="29" t="n">
        <v>374.58</v>
      </c>
      <c r="C94" s="6"/>
    </row>
    <row r="95" customFormat="false" ht="15" hidden="false" customHeight="false" outlineLevel="0" collapsed="false">
      <c r="A95" s="10" t="s">
        <v>225</v>
      </c>
      <c r="B95" s="22" t="n">
        <v>2.865</v>
      </c>
      <c r="C95" s="6" t="s">
        <v>226</v>
      </c>
    </row>
    <row r="96" customFormat="false" ht="15" hidden="false" customHeight="false" outlineLevel="0" collapsed="false">
      <c r="A96" s="10" t="s">
        <v>227</v>
      </c>
      <c r="B96" s="26" t="n">
        <v>20</v>
      </c>
      <c r="C96" s="6" t="s">
        <v>228</v>
      </c>
    </row>
    <row r="97" customFormat="false" ht="15" hidden="false" customHeight="false" outlineLevel="0" collapsed="false">
      <c r="A97" s="13" t="s">
        <v>229</v>
      </c>
      <c r="B97" s="24" t="n">
        <f aca="false">B87-B88</f>
        <v>35.924</v>
      </c>
    </row>
    <row r="99" customFormat="false" ht="15" hidden="false" customHeight="false" outlineLevel="0" collapsed="false">
      <c r="A99" s="8" t="s">
        <v>230</v>
      </c>
      <c r="B99" s="9" t="s">
        <v>165</v>
      </c>
      <c r="C99" s="9" t="s">
        <v>104</v>
      </c>
    </row>
    <row r="100" customFormat="false" ht="15" hidden="false" customHeight="false" outlineLevel="0" collapsed="false">
      <c r="A100" s="10" t="s">
        <v>231</v>
      </c>
      <c r="B100" s="27" t="n">
        <v>0.84949444</v>
      </c>
      <c r="C100" s="6" t="s">
        <v>232</v>
      </c>
    </row>
    <row r="101" customFormat="false" ht="15" hidden="false" customHeight="false" outlineLevel="0" collapsed="false">
      <c r="A101" s="10" t="s">
        <v>233</v>
      </c>
      <c r="B101" s="35" t="n">
        <f aca="false">5.569053075-0.35</f>
        <v>5.219053075</v>
      </c>
      <c r="C101" s="6" t="s">
        <v>234</v>
      </c>
    </row>
    <row r="102" customFormat="false" ht="15" hidden="false" customHeight="false" outlineLevel="0" collapsed="false">
      <c r="A102" s="10" t="s">
        <v>235</v>
      </c>
      <c r="B102" s="27" t="n">
        <v>1.302072285</v>
      </c>
      <c r="C102" s="6" t="s">
        <v>236</v>
      </c>
    </row>
    <row r="103" customFormat="false" ht="15" hidden="false" customHeight="false" outlineLevel="0" collapsed="false">
      <c r="A103" s="10" t="s">
        <v>237</v>
      </c>
      <c r="B103" s="27" t="n">
        <v>0.35</v>
      </c>
      <c r="C103" s="6" t="s">
        <v>238</v>
      </c>
    </row>
    <row r="104" customFormat="false" ht="15" hidden="false" customHeight="false" outlineLevel="0" collapsed="false">
      <c r="A104" s="10" t="s">
        <v>239</v>
      </c>
      <c r="B104" s="27" t="n">
        <v>0.413152109</v>
      </c>
      <c r="C104" s="6" t="s">
        <v>240</v>
      </c>
    </row>
    <row r="105" customFormat="false" ht="15" hidden="false" customHeight="false" outlineLevel="0" collapsed="false">
      <c r="A105" s="10" t="s">
        <v>241</v>
      </c>
      <c r="B105" s="27" t="n">
        <v>0.286428773</v>
      </c>
      <c r="C105" s="6" t="s">
        <v>242</v>
      </c>
    </row>
    <row r="106" customFormat="false" ht="15" hidden="false" customHeight="false" outlineLevel="0" collapsed="false">
      <c r="A106" s="10" t="s">
        <v>243</v>
      </c>
      <c r="B106" s="27" t="n">
        <v>0.423743904</v>
      </c>
      <c r="C106" s="6" t="s">
        <v>244</v>
      </c>
    </row>
    <row r="107" customFormat="false" ht="15" hidden="false" customHeight="false" outlineLevel="0" collapsed="false">
      <c r="A107" s="10" t="s">
        <v>245</v>
      </c>
      <c r="B107" s="27" t="n">
        <v>334.09</v>
      </c>
      <c r="C107" s="6" t="s">
        <v>246</v>
      </c>
    </row>
    <row r="108" customFormat="false" ht="15" hidden="false" customHeight="false" outlineLevel="0" collapsed="false">
      <c r="A108" s="10" t="s">
        <v>247</v>
      </c>
      <c r="B108" s="27" t="n">
        <v>0.035311992</v>
      </c>
      <c r="C108" s="6" t="s">
        <v>248</v>
      </c>
    </row>
    <row r="109" customFormat="false" ht="15" hidden="false" customHeight="false" outlineLevel="0" collapsed="false">
      <c r="A109" s="10" t="s">
        <v>249</v>
      </c>
      <c r="B109" s="27" t="n">
        <v>2</v>
      </c>
      <c r="C109" s="6" t="s">
        <v>250</v>
      </c>
    </row>
    <row r="110" customFormat="false" ht="15" hidden="false" customHeight="false" outlineLevel="0" collapsed="false">
      <c r="A110" s="10" t="s">
        <v>251</v>
      </c>
      <c r="B110" s="19" t="n">
        <f aca="false">(B104+B105)/(3.952648559-B106)</f>
        <v>0.198243067011965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2" min="2" style="0" width="13"/>
    <col collapsed="false" customWidth="true" hidden="false" outlineLevel="0" max="3" min="3" style="0" width="14"/>
    <col collapsed="false" customWidth="true" hidden="false" outlineLevel="0" max="5" min="4" style="0" width="13"/>
    <col collapsed="false" customWidth="true" hidden="false" outlineLevel="0" max="6" min="6" style="0" width="60"/>
  </cols>
  <sheetData>
    <row r="1" customFormat="false" ht="17.35" hidden="false" customHeight="false" outlineLevel="0" collapsed="false">
      <c r="A1" s="5" t="s">
        <v>252</v>
      </c>
    </row>
    <row r="2" customFormat="false" ht="15" hidden="false" customHeight="false" outlineLevel="0" collapsed="false">
      <c r="A2" s="6" t="s">
        <v>253</v>
      </c>
    </row>
    <row r="4" customFormat="false" ht="15" hidden="false" customHeight="false" outlineLevel="0" collapsed="false">
      <c r="A4" s="8" t="s">
        <v>254</v>
      </c>
      <c r="B4" s="9" t="s">
        <v>78</v>
      </c>
      <c r="C4" s="9" t="s">
        <v>104</v>
      </c>
    </row>
    <row r="5" customFormat="false" ht="15" hidden="false" customHeight="false" outlineLevel="0" collapsed="false">
      <c r="A5" s="36" t="s">
        <v>255</v>
      </c>
      <c r="B5" s="37"/>
      <c r="C5" s="37"/>
    </row>
    <row r="6" customFormat="false" ht="15" hidden="false" customHeight="false" outlineLevel="0" collapsed="false">
      <c r="A6" s="10" t="s">
        <v>256</v>
      </c>
      <c r="B6" s="38" t="n">
        <v>0.11</v>
      </c>
      <c r="C6" s="6" t="s">
        <v>257</v>
      </c>
    </row>
    <row r="7" customFormat="false" ht="15" hidden="false" customHeight="false" outlineLevel="0" collapsed="false">
      <c r="A7" s="10" t="s">
        <v>258</v>
      </c>
      <c r="B7" s="38" t="n">
        <v>0.5</v>
      </c>
      <c r="C7" s="6"/>
    </row>
    <row r="8" customFormat="false" ht="15" hidden="false" customHeight="false" outlineLevel="0" collapsed="false">
      <c r="A8" s="10" t="s">
        <v>259</v>
      </c>
      <c r="B8" s="39" t="n">
        <v>1</v>
      </c>
      <c r="C8" s="6" t="s">
        <v>260</v>
      </c>
    </row>
    <row r="9" customFormat="false" ht="15" hidden="false" customHeight="false" outlineLevel="0" collapsed="false">
      <c r="A9" s="10" t="s">
        <v>261</v>
      </c>
      <c r="B9" s="38" t="n">
        <v>0</v>
      </c>
      <c r="C9" s="6" t="s">
        <v>262</v>
      </c>
    </row>
    <row r="10" customFormat="false" ht="15" hidden="false" customHeight="false" outlineLevel="0" collapsed="false">
      <c r="A10" s="36" t="s">
        <v>263</v>
      </c>
      <c r="B10" s="37"/>
      <c r="C10" s="37"/>
    </row>
    <row r="11" customFormat="false" ht="15" hidden="false" customHeight="false" outlineLevel="0" collapsed="false">
      <c r="A11" s="10" t="s">
        <v>264</v>
      </c>
      <c r="B11" s="38" t="n">
        <v>0.2</v>
      </c>
      <c r="C11" s="6" t="s">
        <v>265</v>
      </c>
    </row>
    <row r="12" customFormat="false" ht="15" hidden="false" customHeight="false" outlineLevel="0" collapsed="false">
      <c r="A12" s="10" t="s">
        <v>266</v>
      </c>
      <c r="B12" s="14" t="n">
        <f aca="false">Historicals!B43</f>
        <v>147.49</v>
      </c>
      <c r="C12" s="6" t="s">
        <v>267</v>
      </c>
    </row>
    <row r="13" customFormat="false" ht="15" hidden="false" customHeight="false" outlineLevel="0" collapsed="false">
      <c r="A13" s="10" t="s">
        <v>268</v>
      </c>
      <c r="B13" s="14" t="n">
        <f aca="false">Historicals!B94</f>
        <v>374.58</v>
      </c>
      <c r="C13" s="6" t="s">
        <v>267</v>
      </c>
    </row>
    <row r="14" customFormat="false" ht="15" hidden="false" customHeight="false" outlineLevel="0" collapsed="false">
      <c r="A14" s="10" t="s">
        <v>269</v>
      </c>
      <c r="B14" s="39" t="n">
        <v>1</v>
      </c>
      <c r="C14" s="6" t="s">
        <v>270</v>
      </c>
    </row>
    <row r="15" customFormat="false" ht="15" hidden="false" customHeight="false" outlineLevel="0" collapsed="false">
      <c r="A15" s="10" t="s">
        <v>271</v>
      </c>
      <c r="B15" s="20" t="n">
        <f aca="false">Historicals!D57-(1-B14)*Historicals!D61</f>
        <v>0.612402196759102</v>
      </c>
      <c r="C15" s="6" t="s">
        <v>272</v>
      </c>
    </row>
    <row r="16" customFormat="false" ht="15" hidden="false" customHeight="false" outlineLevel="0" collapsed="false">
      <c r="A16" s="10" t="s">
        <v>273</v>
      </c>
      <c r="B16" s="20" t="n">
        <f aca="false">-(1-B14)*Historicals!B60</f>
        <v>-0</v>
      </c>
      <c r="C16" s="6" t="s">
        <v>274</v>
      </c>
    </row>
    <row r="17" customFormat="false" ht="15" hidden="false" customHeight="false" outlineLevel="0" collapsed="false">
      <c r="A17" s="10" t="s">
        <v>275</v>
      </c>
      <c r="B17" s="20" t="n">
        <f aca="false">Historicals!B93</f>
        <v>0.0145712269999997</v>
      </c>
      <c r="C17" s="6" t="s">
        <v>276</v>
      </c>
    </row>
    <row r="18" customFormat="false" ht="15" hidden="false" customHeight="false" outlineLevel="0" collapsed="false">
      <c r="A18" s="10" t="s">
        <v>277</v>
      </c>
      <c r="B18" s="40" t="n">
        <v>0.0194</v>
      </c>
      <c r="C18" s="6" t="s">
        <v>278</v>
      </c>
    </row>
    <row r="19" customFormat="false" ht="15" hidden="false" customHeight="false" outlineLevel="0" collapsed="false">
      <c r="A19" s="10" t="s">
        <v>279</v>
      </c>
      <c r="B19" s="38" t="n">
        <v>0.5</v>
      </c>
      <c r="C19" s="6"/>
    </row>
    <row r="20" customFormat="false" ht="15" hidden="false" customHeight="false" outlineLevel="0" collapsed="false">
      <c r="A20" s="10" t="s">
        <v>280</v>
      </c>
      <c r="B20" s="38" t="n">
        <v>0.7</v>
      </c>
      <c r="C20" s="6" t="s">
        <v>281</v>
      </c>
    </row>
    <row r="21" customFormat="false" ht="15" hidden="false" customHeight="false" outlineLevel="0" collapsed="false">
      <c r="A21" s="10" t="s">
        <v>282</v>
      </c>
      <c r="B21" s="39" t="n">
        <v>0</v>
      </c>
      <c r="C21" s="6" t="s">
        <v>283</v>
      </c>
    </row>
    <row r="22" customFormat="false" ht="15" hidden="false" customHeight="false" outlineLevel="0" collapsed="false">
      <c r="A22" s="36" t="s">
        <v>284</v>
      </c>
      <c r="B22" s="37"/>
      <c r="C22" s="37"/>
    </row>
    <row r="23" customFormat="false" ht="15" hidden="false" customHeight="false" outlineLevel="0" collapsed="false">
      <c r="A23" s="10" t="s">
        <v>285</v>
      </c>
      <c r="B23" s="41" t="n">
        <v>2</v>
      </c>
      <c r="C23" s="6"/>
    </row>
    <row r="24" customFormat="false" ht="15" hidden="false" customHeight="false" outlineLevel="0" collapsed="false">
      <c r="A24" s="10" t="s">
        <v>286</v>
      </c>
      <c r="B24" s="41" t="n">
        <v>0</v>
      </c>
      <c r="C24" s="6" t="s">
        <v>287</v>
      </c>
    </row>
    <row r="25" customFormat="false" ht="15" hidden="false" customHeight="false" outlineLevel="0" collapsed="false">
      <c r="A25" s="10" t="s">
        <v>288</v>
      </c>
      <c r="B25" s="39" t="n">
        <v>0</v>
      </c>
      <c r="C25" s="6" t="s">
        <v>289</v>
      </c>
    </row>
    <row r="26" customFormat="false" ht="15" hidden="false" customHeight="false" outlineLevel="0" collapsed="false">
      <c r="A26" s="10" t="s">
        <v>290</v>
      </c>
      <c r="B26" s="38" t="n">
        <v>1</v>
      </c>
      <c r="C26" s="6" t="s">
        <v>291</v>
      </c>
    </row>
    <row r="27" customFormat="false" ht="15" hidden="false" customHeight="false" outlineLevel="0" collapsed="false">
      <c r="A27" s="10" t="s">
        <v>292</v>
      </c>
      <c r="B27" s="41" t="n">
        <v>1</v>
      </c>
      <c r="C27" s="6" t="s">
        <v>293</v>
      </c>
    </row>
    <row r="28" customFormat="false" ht="15" hidden="false" customHeight="false" outlineLevel="0" collapsed="false">
      <c r="A28" s="10" t="s">
        <v>294</v>
      </c>
      <c r="B28" s="38" t="n">
        <v>0.75</v>
      </c>
      <c r="C28" s="6"/>
    </row>
    <row r="29" customFormat="false" ht="15" hidden="false" customHeight="false" outlineLevel="0" collapsed="false">
      <c r="A29" s="10" t="s">
        <v>295</v>
      </c>
      <c r="B29" s="41" t="n">
        <v>3</v>
      </c>
      <c r="C29" s="6"/>
    </row>
    <row r="30" customFormat="false" ht="15" hidden="false" customHeight="false" outlineLevel="0" collapsed="false">
      <c r="A30" s="10" t="s">
        <v>296</v>
      </c>
      <c r="B30" s="42" t="n">
        <v>25</v>
      </c>
      <c r="C30" s="6" t="s">
        <v>297</v>
      </c>
    </row>
    <row r="31" customFormat="false" ht="15" hidden="false" customHeight="false" outlineLevel="0" collapsed="false">
      <c r="A31" s="10" t="s">
        <v>298</v>
      </c>
      <c r="B31" s="42" t="n">
        <v>20</v>
      </c>
      <c r="C31" s="6"/>
    </row>
    <row r="32" customFormat="false" ht="15" hidden="false" customHeight="false" outlineLevel="0" collapsed="false">
      <c r="A32" s="36" t="s">
        <v>299</v>
      </c>
      <c r="B32" s="37"/>
      <c r="C32" s="37"/>
    </row>
    <row r="33" customFormat="false" ht="15" hidden="false" customHeight="false" outlineLevel="0" collapsed="false">
      <c r="A33" s="10" t="s">
        <v>300</v>
      </c>
      <c r="B33" s="38" t="n">
        <v>0.21</v>
      </c>
      <c r="C33" s="6"/>
    </row>
    <row r="34" customFormat="false" ht="15" hidden="false" customHeight="false" outlineLevel="0" collapsed="false">
      <c r="A34" s="10" t="s">
        <v>301</v>
      </c>
      <c r="B34" s="38" t="n">
        <v>0.04</v>
      </c>
      <c r="C34" s="6" t="s">
        <v>302</v>
      </c>
    </row>
    <row r="35" customFormat="false" ht="15" hidden="false" customHeight="false" outlineLevel="0" collapsed="false">
      <c r="A35" s="10" t="s">
        <v>303</v>
      </c>
      <c r="B35" s="38" t="n">
        <v>0.8</v>
      </c>
      <c r="C35" s="6" t="s">
        <v>304</v>
      </c>
    </row>
    <row r="36" customFormat="false" ht="15" hidden="false" customHeight="false" outlineLevel="0" collapsed="false">
      <c r="A36" s="10" t="s">
        <v>305</v>
      </c>
      <c r="B36" s="41" t="n">
        <v>999</v>
      </c>
      <c r="C36" s="6" t="s">
        <v>306</v>
      </c>
    </row>
    <row r="37" customFormat="false" ht="15" hidden="false" customHeight="false" outlineLevel="0" collapsed="false">
      <c r="A37" s="10" t="s">
        <v>307</v>
      </c>
      <c r="B37" s="38" t="n">
        <v>0.7</v>
      </c>
      <c r="C37" s="6" t="s">
        <v>308</v>
      </c>
    </row>
    <row r="38" customFormat="false" ht="15" hidden="false" customHeight="false" outlineLevel="0" collapsed="false">
      <c r="A38" s="10" t="s">
        <v>309</v>
      </c>
      <c r="B38" s="38" t="n">
        <v>0.6</v>
      </c>
      <c r="C38" s="6" t="s">
        <v>302</v>
      </c>
    </row>
    <row r="39" customFormat="false" ht="15" hidden="false" customHeight="false" outlineLevel="0" collapsed="false">
      <c r="A39" s="10" t="s">
        <v>310</v>
      </c>
      <c r="B39" s="41" t="n">
        <v>0</v>
      </c>
      <c r="C39" s="6" t="s">
        <v>311</v>
      </c>
    </row>
    <row r="40" customFormat="false" ht="15" hidden="false" customHeight="false" outlineLevel="0" collapsed="false">
      <c r="A40" s="10" t="s">
        <v>312</v>
      </c>
      <c r="B40" s="38" t="n">
        <v>0</v>
      </c>
      <c r="C40" s="6"/>
    </row>
    <row r="41" customFormat="false" ht="15" hidden="false" customHeight="false" outlineLevel="0" collapsed="false">
      <c r="A41" s="10" t="s">
        <v>313</v>
      </c>
      <c r="B41" s="38" t="n">
        <v>0.15</v>
      </c>
      <c r="C41" s="6"/>
    </row>
    <row r="42" customFormat="false" ht="15" hidden="false" customHeight="false" outlineLevel="0" collapsed="false">
      <c r="A42" s="10" t="s">
        <v>314</v>
      </c>
      <c r="B42" s="39" t="n">
        <v>1</v>
      </c>
      <c r="C42" s="6" t="s">
        <v>315</v>
      </c>
    </row>
    <row r="43" customFormat="false" ht="15" hidden="false" customHeight="false" outlineLevel="0" collapsed="false">
      <c r="A43" s="10" t="s">
        <v>316</v>
      </c>
      <c r="B43" s="39" t="n">
        <v>6</v>
      </c>
      <c r="C43" s="6" t="s">
        <v>317</v>
      </c>
    </row>
    <row r="44" customFormat="false" ht="15" hidden="false" customHeight="false" outlineLevel="0" collapsed="false">
      <c r="A44" s="10" t="s">
        <v>318</v>
      </c>
      <c r="B44" s="39" t="n">
        <v>5</v>
      </c>
      <c r="C44" s="6" t="s">
        <v>319</v>
      </c>
    </row>
    <row r="45" customFormat="false" ht="15" hidden="false" customHeight="false" outlineLevel="0" collapsed="false">
      <c r="A45" s="36" t="s">
        <v>320</v>
      </c>
      <c r="B45" s="37"/>
      <c r="C45" s="37"/>
    </row>
    <row r="46" customFormat="false" ht="15" hidden="false" customHeight="false" outlineLevel="0" collapsed="false">
      <c r="A46" s="10" t="s">
        <v>321</v>
      </c>
      <c r="B46" s="39" t="n">
        <v>5</v>
      </c>
      <c r="C46" s="6" t="s">
        <v>322</v>
      </c>
    </row>
    <row r="47" customFormat="false" ht="15" hidden="false" customHeight="false" outlineLevel="0" collapsed="false">
      <c r="A47" s="10" t="s">
        <v>323</v>
      </c>
      <c r="B47" s="39" t="n">
        <v>7</v>
      </c>
      <c r="C47" s="6" t="s">
        <v>324</v>
      </c>
    </row>
    <row r="48" customFormat="false" ht="15" hidden="false" customHeight="false" outlineLevel="0" collapsed="false">
      <c r="A48" s="10" t="s">
        <v>325</v>
      </c>
      <c r="B48" s="39" t="n">
        <v>10</v>
      </c>
      <c r="C48" s="6"/>
    </row>
    <row r="49" customFormat="false" ht="15" hidden="false" customHeight="false" outlineLevel="0" collapsed="false">
      <c r="A49" s="10" t="s">
        <v>326</v>
      </c>
      <c r="B49" s="39" t="n">
        <v>8</v>
      </c>
      <c r="C49" s="6"/>
    </row>
    <row r="50" customFormat="false" ht="15" hidden="false" customHeight="false" outlineLevel="0" collapsed="false">
      <c r="A50" s="10" t="s">
        <v>327</v>
      </c>
      <c r="B50" s="16" t="n">
        <f aca="false">4*Historicals!B13</f>
        <v>3.944</v>
      </c>
      <c r="C50" s="6" t="s">
        <v>328</v>
      </c>
    </row>
    <row r="51" customFormat="false" ht="15" hidden="false" customHeight="false" outlineLevel="0" collapsed="false">
      <c r="A51" s="10" t="s">
        <v>329</v>
      </c>
      <c r="B51" s="16" t="n">
        <f aca="false">4*Historicals!B14</f>
        <v>9.892</v>
      </c>
      <c r="C51" s="6" t="s">
        <v>328</v>
      </c>
    </row>
    <row r="52" customFormat="false" ht="15" hidden="false" customHeight="false" outlineLevel="0" collapsed="false">
      <c r="A52" s="10" t="s">
        <v>330</v>
      </c>
      <c r="B52" s="16" t="n">
        <f aca="false">4*Historicals!B15</f>
        <v>0.74</v>
      </c>
      <c r="C52" s="6" t="s">
        <v>328</v>
      </c>
    </row>
    <row r="53" customFormat="false" ht="15" hidden="false" customHeight="false" outlineLevel="0" collapsed="false">
      <c r="A53" s="10" t="s">
        <v>331</v>
      </c>
      <c r="B53" s="16" t="n">
        <f aca="false">Historicals!C76/3*4</f>
        <v>6.748</v>
      </c>
      <c r="C53" s="6" t="s">
        <v>332</v>
      </c>
    </row>
    <row r="54" customFormat="false" ht="15" hidden="false" customHeight="false" outlineLevel="0" collapsed="false">
      <c r="A54" s="10" t="s">
        <v>333</v>
      </c>
      <c r="B54" s="39" t="n">
        <v>4</v>
      </c>
      <c r="C54" s="6" t="s">
        <v>334</v>
      </c>
    </row>
    <row r="55" customFormat="false" ht="15" hidden="false" customHeight="false" outlineLevel="0" collapsed="false">
      <c r="A55" s="10" t="s">
        <v>335</v>
      </c>
      <c r="B55" s="39" t="n">
        <v>5</v>
      </c>
      <c r="C55" s="6"/>
    </row>
    <row r="56" customFormat="false" ht="15" hidden="false" customHeight="false" outlineLevel="0" collapsed="false">
      <c r="A56" s="10" t="s">
        <v>336</v>
      </c>
      <c r="B56" s="39" t="n">
        <v>6</v>
      </c>
      <c r="C56" s="6"/>
    </row>
    <row r="57" customFormat="false" ht="15" hidden="false" customHeight="false" outlineLevel="0" collapsed="false">
      <c r="A57" s="10" t="s">
        <v>337</v>
      </c>
      <c r="B57" s="39" t="n">
        <v>6</v>
      </c>
      <c r="C57" s="6"/>
    </row>
    <row r="58" customFormat="false" ht="15" hidden="false" customHeight="false" outlineLevel="0" collapsed="false">
      <c r="A58" s="10" t="s">
        <v>338</v>
      </c>
      <c r="B58" s="43" t="n">
        <f aca="false">Historicals!B96</f>
        <v>20</v>
      </c>
      <c r="C58" s="6" t="s">
        <v>339</v>
      </c>
    </row>
    <row r="59" customFormat="false" ht="15" hidden="false" customHeight="false" outlineLevel="0" collapsed="false">
      <c r="A59" s="36" t="s">
        <v>340</v>
      </c>
      <c r="B59" s="37"/>
      <c r="C59" s="37"/>
    </row>
    <row r="60" customFormat="false" ht="15" hidden="false" customHeight="false" outlineLevel="0" collapsed="false">
      <c r="A60" s="10" t="s">
        <v>341</v>
      </c>
      <c r="B60" s="38" t="n">
        <v>0.04</v>
      </c>
      <c r="C60" s="6"/>
    </row>
    <row r="61" customFormat="false" ht="15" hidden="false" customHeight="false" outlineLevel="0" collapsed="false">
      <c r="A61" s="10" t="s">
        <v>342</v>
      </c>
      <c r="B61" s="38" t="n">
        <v>0.06</v>
      </c>
      <c r="C61" s="6" t="s">
        <v>343</v>
      </c>
    </row>
    <row r="62" customFormat="false" ht="15" hidden="false" customHeight="false" outlineLevel="0" collapsed="false">
      <c r="A62" s="10" t="s">
        <v>344</v>
      </c>
      <c r="B62" s="41" t="n">
        <v>0</v>
      </c>
      <c r="C62" s="6" t="s">
        <v>345</v>
      </c>
    </row>
    <row r="63" customFormat="false" ht="15" hidden="false" customHeight="false" outlineLevel="0" collapsed="false">
      <c r="A63" s="10" t="s">
        <v>346</v>
      </c>
      <c r="B63" s="41" t="n">
        <v>0</v>
      </c>
      <c r="C63" s="6" t="s">
        <v>347</v>
      </c>
    </row>
    <row r="64" customFormat="false" ht="15" hidden="false" customHeight="false" outlineLevel="0" collapsed="false">
      <c r="A64" s="10" t="s">
        <v>348</v>
      </c>
      <c r="B64" s="38" t="n">
        <v>0</v>
      </c>
      <c r="C64" s="6" t="s">
        <v>349</v>
      </c>
    </row>
    <row r="65" customFormat="false" ht="15" hidden="false" customHeight="false" outlineLevel="0" collapsed="false">
      <c r="A65" s="10" t="s">
        <v>350</v>
      </c>
      <c r="B65" s="38" t="n">
        <v>0</v>
      </c>
      <c r="C65" s="6"/>
    </row>
    <row r="66" customFormat="false" ht="15" hidden="false" customHeight="false" outlineLevel="0" collapsed="false">
      <c r="A66" s="10" t="s">
        <v>351</v>
      </c>
      <c r="B66" s="41" t="n">
        <v>10</v>
      </c>
      <c r="C66" s="6"/>
    </row>
    <row r="67" customFormat="false" ht="15" hidden="false" customHeight="false" outlineLevel="0" collapsed="false">
      <c r="A67" s="10" t="s">
        <v>352</v>
      </c>
      <c r="B67" s="41" t="n">
        <v>10</v>
      </c>
      <c r="C67" s="6"/>
    </row>
    <row r="68" customFormat="false" ht="15" hidden="false" customHeight="false" outlineLevel="0" collapsed="false">
      <c r="A68" s="10" t="s">
        <v>353</v>
      </c>
      <c r="B68" s="41" t="n">
        <v>15</v>
      </c>
      <c r="C68" s="6"/>
    </row>
    <row r="69" customFormat="false" ht="15" hidden="false" customHeight="false" outlineLevel="0" collapsed="false">
      <c r="A69" s="10" t="s">
        <v>354</v>
      </c>
      <c r="B69" s="38" t="n">
        <v>1</v>
      </c>
      <c r="C69" s="6"/>
    </row>
    <row r="70" customFormat="false" ht="15" hidden="false" customHeight="false" outlineLevel="0" collapsed="false">
      <c r="A70" s="10" t="s">
        <v>355</v>
      </c>
      <c r="B70" s="38" t="n">
        <v>0.01</v>
      </c>
      <c r="C70" s="6"/>
    </row>
    <row r="71" customFormat="false" ht="15" hidden="false" customHeight="false" outlineLevel="0" collapsed="false">
      <c r="A71" s="10" t="s">
        <v>356</v>
      </c>
      <c r="B71" s="38" t="n">
        <v>0.1</v>
      </c>
      <c r="C71" s="6" t="s">
        <v>357</v>
      </c>
    </row>
    <row r="72" customFormat="false" ht="15" hidden="false" customHeight="false" outlineLevel="0" collapsed="false">
      <c r="A72" s="10" t="s">
        <v>358</v>
      </c>
      <c r="B72" s="41" t="n">
        <v>250</v>
      </c>
      <c r="C72" s="6" t="s">
        <v>359</v>
      </c>
    </row>
    <row r="73" customFormat="false" ht="15" hidden="false" customHeight="false" outlineLevel="0" collapsed="false">
      <c r="A73" s="10" t="s">
        <v>360</v>
      </c>
      <c r="B73" s="41" t="n">
        <v>60</v>
      </c>
      <c r="C73" s="6"/>
    </row>
    <row r="74" customFormat="false" ht="15" hidden="false" customHeight="false" outlineLevel="0" collapsed="false">
      <c r="A74" s="10" t="s">
        <v>361</v>
      </c>
      <c r="B74" s="41" t="n">
        <v>300</v>
      </c>
      <c r="C74" s="6"/>
    </row>
    <row r="75" customFormat="false" ht="15" hidden="false" customHeight="false" outlineLevel="0" collapsed="false">
      <c r="A75" s="36" t="s">
        <v>362</v>
      </c>
      <c r="B75" s="37"/>
      <c r="C75" s="37"/>
    </row>
    <row r="76" customFormat="false" ht="15" hidden="false" customHeight="false" outlineLevel="0" collapsed="false">
      <c r="A76" s="10" t="s">
        <v>363</v>
      </c>
      <c r="B76" s="41" t="n">
        <v>1</v>
      </c>
      <c r="C76" s="6" t="s">
        <v>364</v>
      </c>
    </row>
    <row r="77" customFormat="false" ht="15" hidden="false" customHeight="false" outlineLevel="0" collapsed="false">
      <c r="A77" s="10" t="s">
        <v>365</v>
      </c>
      <c r="B77" s="11" t="n">
        <f aca="false">Historicals!C83</f>
        <v>0.236421725239617</v>
      </c>
      <c r="C77" s="6" t="s">
        <v>267</v>
      </c>
    </row>
    <row r="78" customFormat="false" ht="15" hidden="false" customHeight="false" outlineLevel="0" collapsed="false">
      <c r="A78" s="10" t="s">
        <v>366</v>
      </c>
      <c r="B78" s="44" t="n">
        <v>0.0005</v>
      </c>
      <c r="C78" s="6"/>
    </row>
    <row r="79" customFormat="false" ht="15" hidden="false" customHeight="false" outlineLevel="0" collapsed="false">
      <c r="A79" s="13" t="s">
        <v>367</v>
      </c>
      <c r="B79" s="12" t="n">
        <f aca="false">B33+B34*(1-B33)</f>
        <v>0.2416</v>
      </c>
    </row>
    <row r="81" customFormat="false" ht="15" hidden="false" customHeight="false" outlineLevel="0" collapsed="false">
      <c r="A81" s="8" t="s">
        <v>368</v>
      </c>
      <c r="B81" s="9" t="s">
        <v>369</v>
      </c>
      <c r="C81" s="9" t="s">
        <v>370</v>
      </c>
      <c r="D81" s="9" t="s">
        <v>371</v>
      </c>
      <c r="E81" s="9" t="s">
        <v>372</v>
      </c>
      <c r="F81" s="9" t="s">
        <v>373</v>
      </c>
    </row>
    <row r="82" customFormat="false" ht="15" hidden="false" customHeight="false" outlineLevel="0" collapsed="false">
      <c r="A82" s="10" t="s">
        <v>374</v>
      </c>
      <c r="B82" s="38" t="n">
        <v>0</v>
      </c>
      <c r="C82" s="38" t="n">
        <v>0.25</v>
      </c>
      <c r="D82" s="38" t="n">
        <v>0.5</v>
      </c>
      <c r="E82" s="38" t="n">
        <v>0.75</v>
      </c>
      <c r="F82" s="38" t="n">
        <v>1</v>
      </c>
      <c r="G82" s="6" t="s">
        <v>375</v>
      </c>
    </row>
    <row r="84" customFormat="false" ht="15" hidden="false" customHeight="false" outlineLevel="0" collapsed="false">
      <c r="A84" s="8" t="s">
        <v>376</v>
      </c>
      <c r="B84" s="9" t="s">
        <v>38</v>
      </c>
      <c r="C84" s="9" t="s">
        <v>39</v>
      </c>
      <c r="D84" s="9" t="s">
        <v>40</v>
      </c>
      <c r="E84" s="9" t="s">
        <v>42</v>
      </c>
      <c r="F84" s="9" t="s">
        <v>377</v>
      </c>
    </row>
    <row r="85" customFormat="false" ht="15" hidden="false" customHeight="false" outlineLevel="0" collapsed="false">
      <c r="A85" s="6" t="s">
        <v>378</v>
      </c>
    </row>
    <row r="86" customFormat="false" ht="15" hidden="false" customHeight="false" outlineLevel="0" collapsed="false">
      <c r="A86" s="36" t="s">
        <v>379</v>
      </c>
      <c r="B86" s="37"/>
      <c r="C86" s="37"/>
      <c r="D86" s="37"/>
      <c r="E86" s="37"/>
      <c r="F86" s="37"/>
    </row>
    <row r="87" customFormat="false" ht="15" hidden="false" customHeight="false" outlineLevel="0" collapsed="false">
      <c r="A87" s="10" t="s">
        <v>380</v>
      </c>
      <c r="B87" s="41" t="n">
        <v>5.6</v>
      </c>
      <c r="C87" s="41" t="n">
        <v>5.8</v>
      </c>
      <c r="D87" s="41" t="n">
        <v>6</v>
      </c>
      <c r="E87" s="41" t="n">
        <v>5.6</v>
      </c>
      <c r="F87" s="6" t="s">
        <v>381</v>
      </c>
    </row>
    <row r="88" customFormat="false" ht="15" hidden="false" customHeight="false" outlineLevel="0" collapsed="false">
      <c r="A88" s="10" t="s">
        <v>382</v>
      </c>
      <c r="B88" s="41" t="n">
        <v>13</v>
      </c>
      <c r="C88" s="41" t="n">
        <v>17</v>
      </c>
      <c r="D88" s="41" t="n">
        <v>21</v>
      </c>
      <c r="E88" s="41" t="n">
        <v>13</v>
      </c>
      <c r="F88" s="6" t="s">
        <v>383</v>
      </c>
    </row>
    <row r="89" customFormat="false" ht="15" hidden="false" customHeight="false" outlineLevel="0" collapsed="false">
      <c r="A89" s="10" t="s">
        <v>384</v>
      </c>
      <c r="B89" s="41" t="n">
        <v>1.7</v>
      </c>
      <c r="C89" s="41" t="n">
        <v>1.9</v>
      </c>
      <c r="D89" s="41" t="n">
        <v>2.1</v>
      </c>
      <c r="E89" s="41" t="n">
        <v>1.7</v>
      </c>
      <c r="F89" s="6" t="s">
        <v>385</v>
      </c>
    </row>
    <row r="90" customFormat="false" ht="15" hidden="false" customHeight="false" outlineLevel="0" collapsed="false">
      <c r="A90" s="10" t="s">
        <v>386</v>
      </c>
      <c r="B90" s="38" t="n">
        <v>0.1</v>
      </c>
      <c r="C90" s="38" t="n">
        <v>0.18</v>
      </c>
      <c r="D90" s="38" t="n">
        <v>0.24</v>
      </c>
      <c r="E90" s="38" t="n">
        <v>0.1</v>
      </c>
      <c r="F90" s="6" t="s">
        <v>387</v>
      </c>
    </row>
    <row r="91" customFormat="false" ht="15" hidden="false" customHeight="false" outlineLevel="0" collapsed="false">
      <c r="A91" s="10" t="s">
        <v>388</v>
      </c>
      <c r="B91" s="41" t="n">
        <v>40</v>
      </c>
      <c r="C91" s="41" t="n">
        <v>37.5</v>
      </c>
      <c r="D91" s="41" t="n">
        <v>35</v>
      </c>
      <c r="E91" s="41" t="n">
        <v>40</v>
      </c>
      <c r="F91" s="6" t="s">
        <v>389</v>
      </c>
    </row>
    <row r="92" customFormat="false" ht="15" hidden="false" customHeight="false" outlineLevel="0" collapsed="false">
      <c r="A92" s="10" t="s">
        <v>390</v>
      </c>
      <c r="B92" s="38" t="n">
        <v>0.25</v>
      </c>
      <c r="C92" s="38" t="n">
        <v>0.35</v>
      </c>
      <c r="D92" s="38" t="n">
        <v>0.45</v>
      </c>
      <c r="E92" s="38" t="n">
        <v>0.25</v>
      </c>
      <c r="F92" s="6"/>
    </row>
    <row r="93" customFormat="false" ht="15" hidden="false" customHeight="false" outlineLevel="0" collapsed="false">
      <c r="A93" s="10" t="s">
        <v>391</v>
      </c>
      <c r="B93" s="38" t="n">
        <v>0.18</v>
      </c>
      <c r="C93" s="38" t="n">
        <v>0.25</v>
      </c>
      <c r="D93" s="38" t="n">
        <v>0.32</v>
      </c>
      <c r="E93" s="38" t="n">
        <v>0.18</v>
      </c>
    </row>
    <row r="94" customFormat="false" ht="15" hidden="false" customHeight="false" outlineLevel="0" collapsed="false">
      <c r="A94" s="10" t="s">
        <v>392</v>
      </c>
      <c r="B94" s="38" t="n">
        <v>0.14</v>
      </c>
      <c r="C94" s="38" t="n">
        <v>0.18</v>
      </c>
      <c r="D94" s="38" t="n">
        <v>0.24</v>
      </c>
      <c r="E94" s="38" t="n">
        <v>0.14</v>
      </c>
    </row>
    <row r="95" customFormat="false" ht="15" hidden="false" customHeight="false" outlineLevel="0" collapsed="false">
      <c r="A95" s="10" t="s">
        <v>393</v>
      </c>
      <c r="B95" s="38" t="n">
        <v>0.1</v>
      </c>
      <c r="C95" s="38" t="n">
        <v>0.14</v>
      </c>
      <c r="D95" s="38" t="n">
        <v>0.18</v>
      </c>
      <c r="E95" s="38" t="n">
        <v>0.1</v>
      </c>
    </row>
    <row r="96" customFormat="false" ht="15" hidden="false" customHeight="false" outlineLevel="0" collapsed="false">
      <c r="A96" s="10" t="s">
        <v>394</v>
      </c>
      <c r="B96" s="38" t="n">
        <v>1.5</v>
      </c>
      <c r="C96" s="38" t="n">
        <v>3.2</v>
      </c>
      <c r="D96" s="38" t="n">
        <v>4.8</v>
      </c>
      <c r="E96" s="38" t="n">
        <v>1.5</v>
      </c>
      <c r="F96" s="6" t="s">
        <v>395</v>
      </c>
    </row>
    <row r="97" customFormat="false" ht="15" hidden="false" customHeight="false" outlineLevel="0" collapsed="false">
      <c r="A97" s="10" t="s">
        <v>396</v>
      </c>
      <c r="B97" s="38" t="n">
        <v>0.3</v>
      </c>
      <c r="C97" s="38" t="n">
        <v>0.55</v>
      </c>
      <c r="D97" s="38" t="n">
        <v>0.8</v>
      </c>
      <c r="E97" s="38" t="n">
        <v>0.3</v>
      </c>
    </row>
    <row r="98" customFormat="false" ht="15" hidden="false" customHeight="false" outlineLevel="0" collapsed="false">
      <c r="A98" s="10" t="s">
        <v>397</v>
      </c>
      <c r="B98" s="38" t="n">
        <v>0.2</v>
      </c>
      <c r="C98" s="38" t="n">
        <v>0.35</v>
      </c>
      <c r="D98" s="38" t="n">
        <v>0.5</v>
      </c>
      <c r="E98" s="38" t="n">
        <v>0.2</v>
      </c>
    </row>
    <row r="99" customFormat="false" ht="15" hidden="false" customHeight="false" outlineLevel="0" collapsed="false">
      <c r="A99" s="10" t="s">
        <v>398</v>
      </c>
      <c r="B99" s="38" t="n">
        <v>0.15</v>
      </c>
      <c r="C99" s="38" t="n">
        <v>0.25</v>
      </c>
      <c r="D99" s="38" t="n">
        <v>0.35</v>
      </c>
      <c r="E99" s="38" t="n">
        <v>0.15</v>
      </c>
    </row>
    <row r="100" customFormat="false" ht="15" hidden="false" customHeight="false" outlineLevel="0" collapsed="false">
      <c r="A100" s="10" t="s">
        <v>399</v>
      </c>
      <c r="B100" s="38" t="n">
        <v>0.05</v>
      </c>
      <c r="C100" s="38" t="n">
        <v>0.1</v>
      </c>
      <c r="D100" s="38" t="n">
        <v>0.15</v>
      </c>
      <c r="E100" s="38" t="n">
        <v>0.05</v>
      </c>
      <c r="F100" s="6"/>
    </row>
    <row r="101" customFormat="false" ht="15" hidden="false" customHeight="false" outlineLevel="0" collapsed="false">
      <c r="A101" s="10" t="s">
        <v>400</v>
      </c>
      <c r="B101" s="38" t="n">
        <v>0.05</v>
      </c>
      <c r="C101" s="38" t="n">
        <v>0.12</v>
      </c>
      <c r="D101" s="38" t="n">
        <v>0.2</v>
      </c>
      <c r="E101" s="38" t="n">
        <v>0.05</v>
      </c>
    </row>
    <row r="102" customFormat="false" ht="15" hidden="false" customHeight="false" outlineLevel="0" collapsed="false">
      <c r="A102" s="10" t="s">
        <v>401</v>
      </c>
      <c r="B102" s="38" t="n">
        <v>0.05</v>
      </c>
      <c r="C102" s="38" t="n">
        <v>0.14</v>
      </c>
      <c r="D102" s="38" t="n">
        <v>0.25</v>
      </c>
      <c r="E102" s="38" t="n">
        <v>0.05</v>
      </c>
    </row>
    <row r="103" customFormat="false" ht="15" hidden="false" customHeight="false" outlineLevel="0" collapsed="false">
      <c r="A103" s="10" t="s">
        <v>402</v>
      </c>
      <c r="B103" s="38" t="n">
        <v>0.05</v>
      </c>
      <c r="C103" s="38" t="n">
        <v>0.15</v>
      </c>
      <c r="D103" s="38" t="n">
        <v>0.25</v>
      </c>
      <c r="E103" s="38" t="n">
        <v>0.05</v>
      </c>
    </row>
    <row r="104" customFormat="false" ht="15" hidden="false" customHeight="false" outlineLevel="0" collapsed="false">
      <c r="A104" s="10" t="s">
        <v>403</v>
      </c>
      <c r="B104" s="38" t="n">
        <v>0.62</v>
      </c>
      <c r="C104" s="38" t="n">
        <v>0.64</v>
      </c>
      <c r="D104" s="38" t="n">
        <v>0.65</v>
      </c>
      <c r="E104" s="38" t="n">
        <v>0.62</v>
      </c>
      <c r="F104" s="6" t="s">
        <v>404</v>
      </c>
    </row>
    <row r="105" customFormat="false" ht="15" hidden="false" customHeight="false" outlineLevel="0" collapsed="false">
      <c r="A105" s="10" t="s">
        <v>405</v>
      </c>
      <c r="B105" s="38" t="n">
        <v>0.58</v>
      </c>
      <c r="C105" s="38" t="n">
        <v>0.68</v>
      </c>
      <c r="D105" s="38" t="n">
        <v>0.73</v>
      </c>
      <c r="E105" s="38" t="n">
        <v>0.58</v>
      </c>
    </row>
    <row r="106" customFormat="false" ht="15" hidden="false" customHeight="false" outlineLevel="0" collapsed="false">
      <c r="A106" s="10" t="s">
        <v>406</v>
      </c>
      <c r="B106" s="38" t="n">
        <v>0.48</v>
      </c>
      <c r="C106" s="38" t="n">
        <v>0.53</v>
      </c>
      <c r="D106" s="38" t="n">
        <v>0.53</v>
      </c>
      <c r="E106" s="38" t="n">
        <v>0.48</v>
      </c>
      <c r="F106" s="6" t="s">
        <v>407</v>
      </c>
    </row>
    <row r="107" customFormat="false" ht="15" hidden="false" customHeight="false" outlineLevel="0" collapsed="false">
      <c r="A107" s="10" t="s">
        <v>408</v>
      </c>
      <c r="B107" s="38" t="n">
        <v>0.43</v>
      </c>
      <c r="C107" s="38" t="n">
        <v>0.53</v>
      </c>
      <c r="D107" s="38" t="n">
        <v>0.6</v>
      </c>
      <c r="E107" s="38" t="n">
        <v>0.43</v>
      </c>
    </row>
    <row r="108" customFormat="false" ht="15" hidden="false" customHeight="false" outlineLevel="0" collapsed="false">
      <c r="A108" s="10" t="s">
        <v>409</v>
      </c>
      <c r="B108" s="38" t="n">
        <v>0.18</v>
      </c>
      <c r="C108" s="38" t="n">
        <v>0.23</v>
      </c>
      <c r="D108" s="38" t="n">
        <v>0.28</v>
      </c>
      <c r="E108" s="38" t="n">
        <v>0.18</v>
      </c>
      <c r="F108" s="6" t="s">
        <v>410</v>
      </c>
    </row>
    <row r="109" customFormat="false" ht="15" hidden="false" customHeight="false" outlineLevel="0" collapsed="false">
      <c r="A109" s="10" t="s">
        <v>411</v>
      </c>
      <c r="B109" s="38" t="n">
        <v>0.23</v>
      </c>
      <c r="C109" s="38" t="n">
        <v>0.33</v>
      </c>
      <c r="D109" s="38" t="n">
        <v>0.43</v>
      </c>
      <c r="E109" s="38" t="n">
        <v>0.23</v>
      </c>
    </row>
    <row r="110" customFormat="false" ht="15" hidden="false" customHeight="false" outlineLevel="0" collapsed="false">
      <c r="A110" s="10" t="s">
        <v>412</v>
      </c>
      <c r="B110" s="38" t="n">
        <v>0.08</v>
      </c>
      <c r="C110" s="38" t="n">
        <v>0.08</v>
      </c>
      <c r="D110" s="38" t="n">
        <v>0.08</v>
      </c>
      <c r="E110" s="38" t="n">
        <v>0.08</v>
      </c>
      <c r="F110" s="6" t="s">
        <v>413</v>
      </c>
    </row>
    <row r="111" customFormat="false" ht="15" hidden="false" customHeight="false" outlineLevel="0" collapsed="false">
      <c r="A111" s="10" t="s">
        <v>414</v>
      </c>
      <c r="B111" s="38" t="n">
        <v>0.28</v>
      </c>
      <c r="C111" s="38" t="n">
        <v>0.25</v>
      </c>
      <c r="D111" s="38" t="n">
        <v>0.22</v>
      </c>
      <c r="E111" s="38" t="n">
        <v>0.25</v>
      </c>
      <c r="F111" s="6" t="s">
        <v>415</v>
      </c>
    </row>
    <row r="112" customFormat="false" ht="15" hidden="false" customHeight="false" outlineLevel="0" collapsed="false">
      <c r="A112" s="10" t="s">
        <v>416</v>
      </c>
      <c r="B112" s="38" t="n">
        <v>0.18</v>
      </c>
      <c r="C112" s="38" t="n">
        <v>0.15</v>
      </c>
      <c r="D112" s="38" t="n">
        <v>0.12</v>
      </c>
      <c r="E112" s="38" t="n">
        <v>0.12</v>
      </c>
    </row>
    <row r="113" customFormat="false" ht="15" hidden="false" customHeight="false" outlineLevel="0" collapsed="false">
      <c r="A113" s="10" t="s">
        <v>417</v>
      </c>
      <c r="B113" s="38" t="n">
        <v>1.6</v>
      </c>
      <c r="C113" s="38" t="n">
        <v>1.2</v>
      </c>
      <c r="D113" s="38" t="n">
        <v>1</v>
      </c>
      <c r="E113" s="38" t="n">
        <v>1.3</v>
      </c>
      <c r="F113" s="6" t="s">
        <v>418</v>
      </c>
    </row>
    <row r="114" customFormat="false" ht="15" hidden="false" customHeight="false" outlineLevel="0" collapsed="false">
      <c r="A114" s="10" t="s">
        <v>419</v>
      </c>
      <c r="B114" s="38" t="n">
        <v>0.5</v>
      </c>
      <c r="C114" s="38" t="n">
        <v>0.35</v>
      </c>
      <c r="D114" s="38" t="n">
        <v>0.28</v>
      </c>
      <c r="E114" s="38" t="n">
        <v>0.3</v>
      </c>
    </row>
    <row r="115" customFormat="false" ht="15" hidden="false" customHeight="false" outlineLevel="0" collapsed="false">
      <c r="A115" s="10" t="s">
        <v>420</v>
      </c>
      <c r="B115" s="38" t="n">
        <v>0.8</v>
      </c>
      <c r="C115" s="38" t="n">
        <v>0.7</v>
      </c>
      <c r="D115" s="38" t="n">
        <v>0.6</v>
      </c>
      <c r="E115" s="38" t="n">
        <v>0.7</v>
      </c>
      <c r="F115" s="6" t="s">
        <v>421</v>
      </c>
    </row>
    <row r="116" customFormat="false" ht="15" hidden="false" customHeight="false" outlineLevel="0" collapsed="false">
      <c r="A116" s="10" t="s">
        <v>422</v>
      </c>
      <c r="B116" s="38" t="n">
        <v>0.5</v>
      </c>
      <c r="C116" s="38" t="n">
        <v>0.35</v>
      </c>
      <c r="D116" s="38" t="n">
        <v>0.25</v>
      </c>
      <c r="E116" s="38" t="n">
        <v>0.25</v>
      </c>
    </row>
    <row r="117" customFormat="false" ht="15" hidden="false" customHeight="false" outlineLevel="0" collapsed="false">
      <c r="A117" s="10" t="s">
        <v>423</v>
      </c>
      <c r="B117" s="42" t="n">
        <v>25</v>
      </c>
      <c r="C117" s="42" t="n">
        <v>35</v>
      </c>
      <c r="D117" s="42" t="n">
        <v>45</v>
      </c>
      <c r="E117" s="42" t="n">
        <v>20</v>
      </c>
      <c r="F117" s="6" t="s">
        <v>424</v>
      </c>
    </row>
    <row r="118" customFormat="false" ht="15" hidden="false" customHeight="false" outlineLevel="0" collapsed="false">
      <c r="A118" s="10" t="s">
        <v>425</v>
      </c>
      <c r="B118" s="42" t="n">
        <v>20</v>
      </c>
      <c r="C118" s="42" t="n">
        <v>30</v>
      </c>
      <c r="D118" s="42" t="n">
        <v>38</v>
      </c>
      <c r="E118" s="42" t="n">
        <v>16</v>
      </c>
      <c r="F118" s="6"/>
    </row>
    <row r="119" customFormat="false" ht="15" hidden="false" customHeight="false" outlineLevel="0" collapsed="false">
      <c r="A119" s="36" t="s">
        <v>426</v>
      </c>
      <c r="B119" s="37"/>
      <c r="C119" s="37"/>
      <c r="D119" s="37"/>
      <c r="E119" s="37"/>
      <c r="F119" s="37"/>
    </row>
    <row r="120" customFormat="false" ht="15" hidden="false" customHeight="false" outlineLevel="0" collapsed="false">
      <c r="A120" s="10" t="s">
        <v>427</v>
      </c>
      <c r="B120" s="41" t="n">
        <v>20</v>
      </c>
      <c r="C120" s="41" t="n">
        <v>21.5</v>
      </c>
      <c r="D120" s="41" t="n">
        <v>22.5</v>
      </c>
      <c r="E120" s="41" t="n">
        <v>20</v>
      </c>
      <c r="F120" s="6" t="s">
        <v>428</v>
      </c>
    </row>
    <row r="121" customFormat="false" ht="15" hidden="false" customHeight="false" outlineLevel="0" collapsed="false">
      <c r="A121" s="10" t="s">
        <v>429</v>
      </c>
      <c r="B121" s="41" t="n">
        <v>2.9</v>
      </c>
      <c r="C121" s="41" t="n">
        <v>3.3</v>
      </c>
      <c r="D121" s="41" t="n">
        <v>3.7</v>
      </c>
      <c r="E121" s="41" t="n">
        <v>2.9</v>
      </c>
      <c r="F121" s="6" t="s">
        <v>430</v>
      </c>
    </row>
    <row r="122" customFormat="false" ht="15" hidden="false" customHeight="false" outlineLevel="0" collapsed="false">
      <c r="A122" s="10" t="s">
        <v>431</v>
      </c>
      <c r="B122" s="41" t="n">
        <v>4.7</v>
      </c>
      <c r="C122" s="41" t="n">
        <v>4.9</v>
      </c>
      <c r="D122" s="41" t="n">
        <v>5.1</v>
      </c>
      <c r="E122" s="41" t="n">
        <v>4.7</v>
      </c>
      <c r="F122" s="6" t="s">
        <v>432</v>
      </c>
    </row>
    <row r="123" customFormat="false" ht="15" hidden="false" customHeight="false" outlineLevel="0" collapsed="false">
      <c r="A123" s="10" t="s">
        <v>433</v>
      </c>
      <c r="B123" s="38" t="n">
        <v>0.015</v>
      </c>
      <c r="C123" s="38" t="n">
        <v>0.03</v>
      </c>
      <c r="D123" s="38" t="n">
        <v>0.045</v>
      </c>
      <c r="E123" s="38" t="n">
        <v>0.015</v>
      </c>
      <c r="F123" s="6" t="s">
        <v>434</v>
      </c>
    </row>
    <row r="124" customFormat="false" ht="15" hidden="false" customHeight="false" outlineLevel="0" collapsed="false">
      <c r="A124" s="10" t="s">
        <v>435</v>
      </c>
      <c r="B124" s="38" t="n">
        <v>-0.02</v>
      </c>
      <c r="C124" s="38" t="n">
        <v>0.03</v>
      </c>
      <c r="D124" s="38" t="n">
        <v>0.08</v>
      </c>
      <c r="E124" s="38" t="n">
        <v>-0.02</v>
      </c>
      <c r="F124" s="6" t="s">
        <v>436</v>
      </c>
    </row>
    <row r="125" customFormat="false" ht="15" hidden="false" customHeight="false" outlineLevel="0" collapsed="false">
      <c r="A125" s="10" t="s">
        <v>437</v>
      </c>
      <c r="B125" s="38" t="n">
        <v>0</v>
      </c>
      <c r="C125" s="38" t="n">
        <v>0.05</v>
      </c>
      <c r="D125" s="38" t="n">
        <v>0.1</v>
      </c>
      <c r="E125" s="38" t="n">
        <v>0</v>
      </c>
    </row>
    <row r="126" customFormat="false" ht="15" hidden="false" customHeight="false" outlineLevel="0" collapsed="false">
      <c r="A126" s="10" t="s">
        <v>438</v>
      </c>
      <c r="B126" s="38" t="n">
        <v>0.01</v>
      </c>
      <c r="C126" s="38" t="n">
        <v>0.05</v>
      </c>
      <c r="D126" s="38" t="n">
        <v>0.1</v>
      </c>
      <c r="E126" s="38" t="n">
        <v>0.01</v>
      </c>
    </row>
    <row r="127" customFormat="false" ht="15" hidden="false" customHeight="false" outlineLevel="0" collapsed="false">
      <c r="A127" s="10" t="s">
        <v>439</v>
      </c>
      <c r="B127" s="38" t="n">
        <v>0.02</v>
      </c>
      <c r="C127" s="38" t="n">
        <v>0.05</v>
      </c>
      <c r="D127" s="38" t="n">
        <v>0.1</v>
      </c>
      <c r="E127" s="38" t="n">
        <v>0.02</v>
      </c>
    </row>
    <row r="128" customFormat="false" ht="15" hidden="false" customHeight="false" outlineLevel="0" collapsed="false">
      <c r="A128" s="10" t="s">
        <v>440</v>
      </c>
      <c r="B128" s="38" t="n">
        <v>0.1</v>
      </c>
      <c r="C128" s="38" t="n">
        <v>0.2</v>
      </c>
      <c r="D128" s="38" t="n">
        <v>0.3</v>
      </c>
      <c r="E128" s="38" t="n">
        <v>0.1</v>
      </c>
      <c r="F128" s="6"/>
    </row>
    <row r="129" customFormat="false" ht="15" hidden="false" customHeight="false" outlineLevel="0" collapsed="false">
      <c r="A129" s="10" t="s">
        <v>441</v>
      </c>
      <c r="B129" s="38" t="n">
        <v>0.1</v>
      </c>
      <c r="C129" s="38" t="n">
        <v>0.2</v>
      </c>
      <c r="D129" s="38" t="n">
        <v>0.3</v>
      </c>
      <c r="E129" s="38" t="n">
        <v>0.1</v>
      </c>
    </row>
    <row r="130" customFormat="false" ht="15" hidden="false" customHeight="false" outlineLevel="0" collapsed="false">
      <c r="A130" s="10" t="s">
        <v>442</v>
      </c>
      <c r="B130" s="38" t="n">
        <v>0.1</v>
      </c>
      <c r="C130" s="38" t="n">
        <v>0.2</v>
      </c>
      <c r="D130" s="38" t="n">
        <v>0.3</v>
      </c>
      <c r="E130" s="38" t="n">
        <v>0.1</v>
      </c>
    </row>
    <row r="131" customFormat="false" ht="15" hidden="false" customHeight="false" outlineLevel="0" collapsed="false">
      <c r="A131" s="10" t="s">
        <v>443</v>
      </c>
      <c r="B131" s="38" t="n">
        <v>0.1</v>
      </c>
      <c r="C131" s="38" t="n">
        <v>0.2</v>
      </c>
      <c r="D131" s="38" t="n">
        <v>0.3</v>
      </c>
      <c r="E131" s="38" t="n">
        <v>0.1</v>
      </c>
    </row>
    <row r="132" customFormat="false" ht="15" hidden="false" customHeight="false" outlineLevel="0" collapsed="false">
      <c r="A132" s="10" t="s">
        <v>444</v>
      </c>
      <c r="B132" s="38" t="n">
        <v>0.12</v>
      </c>
      <c r="C132" s="38" t="n">
        <v>0.18</v>
      </c>
      <c r="D132" s="38" t="n">
        <v>0.25</v>
      </c>
      <c r="E132" s="38" t="n">
        <v>0.12</v>
      </c>
      <c r="F132" s="6"/>
    </row>
    <row r="133" customFormat="false" ht="15" hidden="false" customHeight="false" outlineLevel="0" collapsed="false">
      <c r="A133" s="10" t="s">
        <v>445</v>
      </c>
      <c r="B133" s="38" t="n">
        <v>0.12</v>
      </c>
      <c r="C133" s="38" t="n">
        <v>0.18</v>
      </c>
      <c r="D133" s="38" t="n">
        <v>0.25</v>
      </c>
      <c r="E133" s="38" t="n">
        <v>0.12</v>
      </c>
    </row>
    <row r="134" customFormat="false" ht="15" hidden="false" customHeight="false" outlineLevel="0" collapsed="false">
      <c r="A134" s="10" t="s">
        <v>446</v>
      </c>
      <c r="B134" s="38" t="n">
        <v>0.12</v>
      </c>
      <c r="C134" s="38" t="n">
        <v>0.18</v>
      </c>
      <c r="D134" s="38" t="n">
        <v>0.25</v>
      </c>
      <c r="E134" s="38" t="n">
        <v>0.12</v>
      </c>
    </row>
    <row r="135" customFormat="false" ht="15" hidden="false" customHeight="false" outlineLevel="0" collapsed="false">
      <c r="A135" s="10" t="s">
        <v>447</v>
      </c>
      <c r="B135" s="38" t="n">
        <v>0.12</v>
      </c>
      <c r="C135" s="38" t="n">
        <v>0.18</v>
      </c>
      <c r="D135" s="38" t="n">
        <v>0.25</v>
      </c>
      <c r="E135" s="38" t="n">
        <v>0.12</v>
      </c>
    </row>
    <row r="136" customFormat="false" ht="15" hidden="false" customHeight="false" outlineLevel="0" collapsed="false">
      <c r="A136" s="10" t="s">
        <v>448</v>
      </c>
      <c r="B136" s="41" t="n">
        <v>0</v>
      </c>
      <c r="C136" s="41" t="n">
        <v>1</v>
      </c>
      <c r="D136" s="41" t="n">
        <v>3</v>
      </c>
      <c r="E136" s="41" t="n">
        <v>0</v>
      </c>
      <c r="F136" s="6" t="s">
        <v>449</v>
      </c>
    </row>
    <row r="137" customFormat="false" ht="15" hidden="false" customHeight="false" outlineLevel="0" collapsed="false">
      <c r="A137" s="10" t="s">
        <v>450</v>
      </c>
      <c r="B137" s="41" t="n">
        <v>0.5</v>
      </c>
      <c r="C137" s="41" t="n">
        <v>4</v>
      </c>
      <c r="D137" s="41" t="n">
        <v>12</v>
      </c>
      <c r="E137" s="41" t="n">
        <v>0.5</v>
      </c>
    </row>
    <row r="138" customFormat="false" ht="15" hidden="false" customHeight="false" outlineLevel="0" collapsed="false">
      <c r="A138" s="10" t="s">
        <v>451</v>
      </c>
      <c r="B138" s="41" t="n">
        <v>1</v>
      </c>
      <c r="C138" s="41" t="n">
        <v>10</v>
      </c>
      <c r="D138" s="41" t="n">
        <v>35</v>
      </c>
      <c r="E138" s="41" t="n">
        <v>1</v>
      </c>
    </row>
    <row r="139" customFormat="false" ht="15" hidden="false" customHeight="false" outlineLevel="0" collapsed="false">
      <c r="A139" s="10" t="s">
        <v>452</v>
      </c>
      <c r="B139" s="41" t="n">
        <v>2</v>
      </c>
      <c r="C139" s="41" t="n">
        <v>20</v>
      </c>
      <c r="D139" s="41" t="n">
        <v>80</v>
      </c>
      <c r="E139" s="41" t="n">
        <v>2</v>
      </c>
    </row>
    <row r="140" customFormat="false" ht="15" hidden="false" customHeight="false" outlineLevel="0" collapsed="false">
      <c r="A140" s="10" t="s">
        <v>453</v>
      </c>
      <c r="B140" s="38" t="n">
        <v>0.13</v>
      </c>
      <c r="C140" s="38" t="n">
        <v>0.14</v>
      </c>
      <c r="D140" s="38" t="n">
        <v>0.15</v>
      </c>
      <c r="E140" s="38" t="n">
        <v>0.13</v>
      </c>
      <c r="F140" s="6"/>
    </row>
    <row r="141" customFormat="false" ht="15" hidden="false" customHeight="false" outlineLevel="0" collapsed="false">
      <c r="A141" s="10" t="s">
        <v>454</v>
      </c>
      <c r="B141" s="38" t="n">
        <v>0.14</v>
      </c>
      <c r="C141" s="38" t="n">
        <v>0.17</v>
      </c>
      <c r="D141" s="38" t="n">
        <v>0.2</v>
      </c>
      <c r="E141" s="38" t="n">
        <v>0.14</v>
      </c>
    </row>
    <row r="142" customFormat="false" ht="15" hidden="false" customHeight="false" outlineLevel="0" collapsed="false">
      <c r="A142" s="10" t="s">
        <v>455</v>
      </c>
      <c r="B142" s="38" t="n">
        <v>0.26</v>
      </c>
      <c r="C142" s="38" t="n">
        <v>0.29</v>
      </c>
      <c r="D142" s="38" t="n">
        <v>0.31</v>
      </c>
      <c r="E142" s="38" t="n">
        <v>0.26</v>
      </c>
      <c r="F142" s="6"/>
    </row>
    <row r="143" customFormat="false" ht="15" hidden="false" customHeight="false" outlineLevel="0" collapsed="false">
      <c r="A143" s="10" t="s">
        <v>456</v>
      </c>
      <c r="B143" s="38" t="n">
        <v>0.26</v>
      </c>
      <c r="C143" s="38" t="n">
        <v>0.31</v>
      </c>
      <c r="D143" s="38" t="n">
        <v>0.36</v>
      </c>
      <c r="E143" s="38" t="n">
        <v>0.26</v>
      </c>
    </row>
    <row r="144" customFormat="false" ht="15" hidden="false" customHeight="false" outlineLevel="0" collapsed="false">
      <c r="A144" s="10" t="s">
        <v>457</v>
      </c>
      <c r="B144" s="38" t="n">
        <v>0.19</v>
      </c>
      <c r="C144" s="38" t="n">
        <v>0.21</v>
      </c>
      <c r="D144" s="38" t="n">
        <v>0.23</v>
      </c>
      <c r="E144" s="38" t="n">
        <v>0.19</v>
      </c>
      <c r="F144" s="6"/>
    </row>
    <row r="145" customFormat="false" ht="15" hidden="false" customHeight="false" outlineLevel="0" collapsed="false">
      <c r="A145" s="10" t="s">
        <v>458</v>
      </c>
      <c r="B145" s="38" t="n">
        <v>0.19</v>
      </c>
      <c r="C145" s="38" t="n">
        <v>0.23</v>
      </c>
      <c r="D145" s="38" t="n">
        <v>0.26</v>
      </c>
      <c r="E145" s="38" t="n">
        <v>0.19</v>
      </c>
    </row>
    <row r="146" customFormat="false" ht="15" hidden="false" customHeight="false" outlineLevel="0" collapsed="false">
      <c r="A146" s="10" t="s">
        <v>459</v>
      </c>
      <c r="B146" s="38" t="n">
        <v>-0.39</v>
      </c>
      <c r="C146" s="38" t="n">
        <v>-0.09</v>
      </c>
      <c r="D146" s="38" t="n">
        <v>0.11</v>
      </c>
      <c r="E146" s="38" t="n">
        <v>-0.39</v>
      </c>
      <c r="F146" s="6"/>
    </row>
    <row r="147" customFormat="false" ht="15" hidden="false" customHeight="false" outlineLevel="0" collapsed="false">
      <c r="A147" s="10" t="s">
        <v>460</v>
      </c>
      <c r="B147" s="38" t="n">
        <v>0.21</v>
      </c>
      <c r="C147" s="38" t="n">
        <v>0.41</v>
      </c>
      <c r="D147" s="38" t="n">
        <v>0.56</v>
      </c>
      <c r="E147" s="38" t="n">
        <v>0.21</v>
      </c>
    </row>
    <row r="148" customFormat="false" ht="15" hidden="false" customHeight="false" outlineLevel="0" collapsed="false">
      <c r="A148" s="10" t="s">
        <v>461</v>
      </c>
      <c r="B148" s="38" t="n">
        <v>0.04</v>
      </c>
      <c r="C148" s="38" t="n">
        <v>0.04</v>
      </c>
      <c r="D148" s="38" t="n">
        <v>0.04</v>
      </c>
      <c r="E148" s="38" t="n">
        <v>0.04</v>
      </c>
      <c r="F148" s="6" t="s">
        <v>462</v>
      </c>
    </row>
    <row r="149" customFormat="false" ht="15" hidden="false" customHeight="false" outlineLevel="0" collapsed="false">
      <c r="A149" s="10" t="s">
        <v>463</v>
      </c>
      <c r="B149" s="38" t="n">
        <v>0.18</v>
      </c>
      <c r="C149" s="38" t="n">
        <v>0.17</v>
      </c>
      <c r="D149" s="38" t="n">
        <v>0.2</v>
      </c>
      <c r="E149" s="38" t="n">
        <v>0.15</v>
      </c>
      <c r="F149" s="6"/>
    </row>
    <row r="150" customFormat="false" ht="15" hidden="false" customHeight="false" outlineLevel="0" collapsed="false">
      <c r="A150" s="10" t="s">
        <v>464</v>
      </c>
      <c r="B150" s="38" t="n">
        <v>0.13</v>
      </c>
      <c r="C150" s="38" t="n">
        <v>0.12</v>
      </c>
      <c r="D150" s="38" t="n">
        <v>0.14</v>
      </c>
      <c r="E150" s="38" t="n">
        <v>0.08</v>
      </c>
    </row>
    <row r="151" customFormat="false" ht="15" hidden="false" customHeight="false" outlineLevel="0" collapsed="false">
      <c r="A151" s="10" t="s">
        <v>465</v>
      </c>
      <c r="B151" s="40" t="n">
        <v>1</v>
      </c>
      <c r="C151" s="40" t="n">
        <v>11.9930718695424</v>
      </c>
      <c r="D151" s="40" t="n">
        <v>1.04730458460573</v>
      </c>
      <c r="E151" s="40" t="n">
        <v>1</v>
      </c>
      <c r="F151" s="6" t="s">
        <v>466</v>
      </c>
    </row>
    <row r="152" customFormat="false" ht="15" hidden="false" customHeight="false" outlineLevel="0" collapsed="false">
      <c r="A152" s="10" t="s">
        <v>467</v>
      </c>
      <c r="B152" s="42" t="n">
        <v>25</v>
      </c>
      <c r="C152" s="42" t="n">
        <v>40</v>
      </c>
      <c r="D152" s="42" t="n">
        <v>60</v>
      </c>
      <c r="E152" s="42" t="n">
        <v>20</v>
      </c>
      <c r="F152" s="6"/>
    </row>
    <row r="153" customFormat="false" ht="15" hidden="false" customHeight="false" outlineLevel="0" collapsed="false">
      <c r="A153" s="10" t="s">
        <v>468</v>
      </c>
      <c r="B153" s="42" t="n">
        <v>20</v>
      </c>
      <c r="C153" s="42" t="n">
        <v>32</v>
      </c>
      <c r="D153" s="42" t="n">
        <v>48</v>
      </c>
      <c r="E153" s="42" t="n">
        <v>16</v>
      </c>
      <c r="F153" s="6"/>
    </row>
    <row r="154" customFormat="false" ht="15" hidden="false" customHeight="false" outlineLevel="0" collapsed="false">
      <c r="A154" s="36" t="s">
        <v>469</v>
      </c>
      <c r="B154" s="37"/>
      <c r="C154" s="37"/>
      <c r="D154" s="37"/>
      <c r="E154" s="37"/>
      <c r="F154" s="37"/>
    </row>
    <row r="155" customFormat="false" ht="15" hidden="false" customHeight="false" outlineLevel="0" collapsed="false">
      <c r="A155" s="10" t="s">
        <v>470</v>
      </c>
      <c r="B155" s="41" t="n">
        <v>2</v>
      </c>
      <c r="C155" s="41" t="n">
        <v>5</v>
      </c>
      <c r="D155" s="41" t="n">
        <v>10</v>
      </c>
      <c r="E155" s="41" t="n">
        <v>2</v>
      </c>
      <c r="F155" s="6" t="s">
        <v>471</v>
      </c>
    </row>
    <row r="156" customFormat="false" ht="15" hidden="false" customHeight="false" outlineLevel="0" collapsed="false">
      <c r="A156" s="10" t="s">
        <v>472</v>
      </c>
      <c r="B156" s="41" t="n">
        <v>0</v>
      </c>
      <c r="C156" s="41" t="n">
        <v>10</v>
      </c>
      <c r="D156" s="41" t="n">
        <v>30</v>
      </c>
      <c r="E156" s="41" t="n">
        <v>0</v>
      </c>
      <c r="F156" s="6"/>
    </row>
    <row r="157" customFormat="false" ht="15" hidden="false" customHeight="false" outlineLevel="0" collapsed="false">
      <c r="A157" s="10" t="s">
        <v>473</v>
      </c>
      <c r="B157" s="38" t="n">
        <v>0.2</v>
      </c>
      <c r="C157" s="38" t="n">
        <v>0.3</v>
      </c>
      <c r="D157" s="38" t="n">
        <v>0.35</v>
      </c>
      <c r="E157" s="38" t="n">
        <v>0.2</v>
      </c>
      <c r="F157" s="6"/>
    </row>
    <row r="158" customFormat="false" ht="15" hidden="false" customHeight="false" outlineLevel="0" collapsed="false">
      <c r="A158" s="10" t="s">
        <v>474</v>
      </c>
      <c r="B158" s="41" t="n">
        <v>0</v>
      </c>
      <c r="C158" s="41" t="n">
        <v>0</v>
      </c>
      <c r="D158" s="41" t="n">
        <v>0</v>
      </c>
      <c r="E158" s="41" t="n">
        <v>0</v>
      </c>
      <c r="F158" s="6" t="s">
        <v>287</v>
      </c>
    </row>
    <row r="159" customFormat="false" ht="15" hidden="false" customHeight="false" outlineLevel="0" collapsed="false">
      <c r="A159" s="10" t="s">
        <v>475</v>
      </c>
      <c r="B159" s="38" t="n">
        <v>0</v>
      </c>
      <c r="C159" s="38" t="n">
        <v>0.03</v>
      </c>
      <c r="D159" s="38" t="n">
        <v>0.06</v>
      </c>
      <c r="E159" s="38" t="n">
        <v>0</v>
      </c>
      <c r="F159" s="6"/>
    </row>
    <row r="160" customFormat="false" ht="15" hidden="false" customHeight="false" outlineLevel="0" collapsed="false">
      <c r="A160" s="10" t="s">
        <v>476</v>
      </c>
      <c r="B160" s="38" t="n">
        <v>0.25</v>
      </c>
      <c r="C160" s="38" t="n">
        <v>0.5</v>
      </c>
      <c r="D160" s="38" t="n">
        <v>0.25</v>
      </c>
      <c r="E160" s="38" t="n">
        <v>0</v>
      </c>
      <c r="F160" s="6" t="s">
        <v>477</v>
      </c>
    </row>
    <row r="161" customFormat="false" ht="15" hidden="false" customHeight="false" outlineLevel="0" collapsed="false">
      <c r="A161" s="13" t="s">
        <v>478</v>
      </c>
      <c r="B161" s="12" t="n">
        <f aca="false">SUM(B160:D160)</f>
        <v>1</v>
      </c>
    </row>
    <row r="163" customFormat="false" ht="15" hidden="false" customHeight="false" outlineLevel="0" collapsed="false">
      <c r="A163" s="8" t="s">
        <v>479</v>
      </c>
      <c r="B163" s="9" t="s">
        <v>480</v>
      </c>
    </row>
    <row r="164" customFormat="false" ht="15" hidden="false" customHeight="false" outlineLevel="0" collapsed="false">
      <c r="A164" s="10" t="s">
        <v>481</v>
      </c>
      <c r="B164" s="45" t="n">
        <f aca="false">IF(OR(ABS(B161-1)&gt;B78,E160&lt;&gt;0),1,0)+SUMPRODUCT(--(B160:D160&lt;0))</f>
        <v>0</v>
      </c>
    </row>
    <row r="165" customFormat="false" ht="15" hidden="false" customHeight="false" outlineLevel="0" collapsed="false">
      <c r="A165" s="10" t="s">
        <v>482</v>
      </c>
      <c r="B165" s="45" t="n">
        <f aca="false">IF(OR(B12&lt;=0,B13&lt;=0,Historicals!B50&lt;=0,Historicals!B89&lt;=0,B18&lt;0,B15&lt;0,B17&lt;0),1,0)</f>
        <v>0</v>
      </c>
    </row>
    <row r="166" customFormat="false" ht="15" hidden="false" customHeight="false" outlineLevel="0" collapsed="false">
      <c r="A166" s="10" t="s">
        <v>483</v>
      </c>
      <c r="B166" s="45" t="n">
        <f aca="false">SUMPRODUCT(--(ABS((B8-0.5))&lt;&gt;0.5))+IF(OR(AND(B14&lt;&gt;0,B14&lt;&gt;1),AND(B42&lt;&gt;0,B42&lt;&gt;1),AND(B21&lt;&gt;0,B21&lt;&gt;1)),1,0)</f>
        <v>0</v>
      </c>
    </row>
    <row r="167" customFormat="false" ht="15" hidden="false" customHeight="false" outlineLevel="0" collapsed="false">
      <c r="A167" s="10" t="s">
        <v>484</v>
      </c>
      <c r="B167" s="45" t="n">
        <f aca="false">SUMPRODUCT(--(B7&lt;0))+SUMPRODUCT(--(B7&gt;1))+IF(OR(B19&lt;=0,B19&gt;1,B20&lt;=0,B20&gt;1,B26&lt;0,B26&gt;1,B28&lt;0,B28&gt;1,B69&lt;0,B69&gt;1,B70&lt;0,B70&gt;=1,B71&lt;0,B71&gt;=1,B35&lt;0,B35&gt;1,B37&lt;0,B37&gt;1,B38&lt;0,B38&gt;1,B33&lt;0,B34&lt;0,B33+B34&gt;=1),1,0)+SUMPRODUCT(--(B82:F82&lt;0))+SUMPRODUCT(--(B82:F82&gt;1))</f>
        <v>0</v>
      </c>
    </row>
    <row r="168" customFormat="false" ht="15" hidden="false" customHeight="false" outlineLevel="0" collapsed="false">
      <c r="A168" s="10" t="s">
        <v>485</v>
      </c>
      <c r="B168" s="45" t="n">
        <f aca="false">IF(OR(B11&lt;=-1,B6&lt;=0,B25&lt;0,B25&gt;4,B25&lt;&gt;INT(B25)),1,0)</f>
        <v>0</v>
      </c>
    </row>
    <row r="169" customFormat="false" ht="15" hidden="false" customHeight="false" outlineLevel="0" collapsed="false">
      <c r="A169" s="10" t="s">
        <v>486</v>
      </c>
      <c r="B169" s="45" t="n">
        <f aca="false">IF(OR(B46&lt;1,B46&lt;&gt;INT(B46)),1,0)+IF(OR(B47&lt;1,B47&lt;&gt;INT(B47)),1,0)+IF(OR(B48&lt;1,B48&lt;&gt;INT(B48)),1,0)+IF(OR(B49&lt;1,B49&lt;&gt;INT(B49)),1,0)+IF(OR(B54&lt;1,B54&lt;&gt;INT(B54)),1,0)+IF(OR(B55&lt;1,B55&lt;&gt;INT(B55)),1,0)+IF(OR(B56&lt;1,B56&lt;&gt;INT(B56)),1,0)+IF(OR(B57&lt;1,B57&lt;&gt;INT(B57)),1,0)</f>
        <v>0</v>
      </c>
    </row>
    <row r="170" customFormat="false" ht="15" hidden="false" customHeight="false" outlineLevel="0" collapsed="false">
      <c r="A170" s="10" t="s">
        <v>487</v>
      </c>
      <c r="B170" s="45" t="n">
        <f aca="false">SUMPRODUCT(--($B$117:$E$117&lt;=0))+SUMPRODUCT(--($B$118:$E$118&lt;=0))+SUMPRODUCT(--($B$152:$E$152&lt;=0))+SUMPRODUCT(--($B$153:$E$153&lt;=0))+IF(OR(B30&lt;=0,B31&lt;=0),1,0)</f>
        <v>0</v>
      </c>
    </row>
    <row r="171" customFormat="false" ht="15" hidden="false" customHeight="false" outlineLevel="0" collapsed="false">
      <c r="A171" s="10" t="s">
        <v>488</v>
      </c>
      <c r="B171" s="45" t="n">
        <f aca="false">SUMPRODUCT(--($B$92:$E$95&lt;=-1))+SUMPRODUCT(--($B$96:$E$99&lt;=-1))+SUMPRODUCT(--($B$100:$E$103&lt;=-1))+SUMPRODUCT(--($B$124:$E$127&lt;=-1))+SUMPRODUCT(--($B$128:$E$131&lt;=-1))+SUMPRODUCT(--($B$132:$E$135&lt;=-1))</f>
        <v>0</v>
      </c>
    </row>
    <row r="172" customFormat="false" ht="15" hidden="false" customHeight="false" outlineLevel="0" collapsed="false">
      <c r="A172" s="10" t="s">
        <v>489</v>
      </c>
      <c r="B172" s="45" t="n">
        <f aca="false">SUMPRODUCT(--($B$87:$E$87&lt;0))+SUMPRODUCT(--($B$88:$E$88&lt;0))+SUMPRODUCT(--($B$89:$E$89&lt;0))+SUMPRODUCT(--($B$91:$E$91&lt;0))+SUMPRODUCT(--($B$120:$E$120&lt;0))+SUMPRODUCT(--($B$121:$E$121&lt;0))+SUMPRODUCT(--($B$122:$E$122&lt;0))+SUMPRODUCT(--($B$136:$E$139&lt;0))+SUMPRODUCT(--($B$111:$E$112&lt;0))+SUMPRODUCT(--($B$113:$E$114&lt;0))+SUMPRODUCT(--($B$115:$E$116&lt;0))+SUMPRODUCT(--($B$149:$E$150&lt;0))+SUMPRODUCT(--($B$110:$E$110&lt;0))+SUMPRODUCT(--($B$148:$E$148&lt;0))+SUMPRODUCT(--($B$155:$E$155&lt;0))+SUMPRODUCT(--($B$156:$E$156&lt;0))+SUMPRODUCT(--($B$158:$E$158&lt;0))+SUMPRODUCT(--($B$159:$E$159&lt;0))+IF(OR(B23&lt;0,B24&lt;0,B27&lt;0,B29&lt;0,B62&lt;0,B63&lt;0,B62&gt;Historicals!B38,B63&gt;Historicals!B88,B43&lt;0,B44&lt;0,B72&lt;0,B73&lt;0,B74&lt;0,B66&lt;0,B67&lt;0,B68&lt;0,B76&lt;0,B39&lt;0,B36&lt;0,B58&lt;Historicals!C78),1,0)</f>
        <v>0</v>
      </c>
    </row>
    <row r="173" customFormat="false" ht="15" hidden="false" customHeight="false" outlineLevel="0" collapsed="false">
      <c r="A173" s="10" t="s">
        <v>490</v>
      </c>
      <c r="B173" s="45" t="n">
        <f aca="false">SUMPRODUCT(--($B$104:$E$105&gt;=1))+SUMPRODUCT(--($B$106:$E$107&gt;=1))+SUMPRODUCT(--($B$108:$E$109&gt;=1))+SUMPRODUCT(--($B$140:$E$141&gt;=1))+SUMPRODUCT(--($B$142:$E$143&gt;=1))+SUMPRODUCT(--($B$144:$E$145&gt;=1))+SUMPRODUCT(--($B$146:$E$147&gt;=1))+SUMPRODUCT(--($B$110:$E$110&gt;=1))+SUMPRODUCT(--($B$148:$E$148&gt;=1))</f>
        <v>0</v>
      </c>
    </row>
    <row r="174" customFormat="false" ht="15" hidden="false" customHeight="false" outlineLevel="0" collapsed="false">
      <c r="A174" s="13" t="s">
        <v>491</v>
      </c>
      <c r="B174" s="46" t="n">
        <f aca="false">SUM(B164:B173)</f>
        <v>0</v>
      </c>
      <c r="C174" s="7" t="str">
        <f aca="false">IF(B174=0,"All input checks passed","CHECK INPUTS: results may be invalid")</f>
        <v>All input checks passed</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6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7" min="2" style="0" width="14"/>
  </cols>
  <sheetData>
    <row r="1" customFormat="false" ht="17.35" hidden="false" customHeight="false" outlineLevel="0" collapsed="false">
      <c r="A1" s="5" t="s">
        <v>492</v>
      </c>
    </row>
    <row r="2" customFormat="false" ht="15" hidden="false" customHeight="false" outlineLevel="0" collapsed="false">
      <c r="A2" s="6" t="s">
        <v>493</v>
      </c>
    </row>
    <row r="4" customFormat="false" ht="15" hidden="false" customHeight="false" outlineLevel="0" collapsed="false">
      <c r="A4" s="8" t="s">
        <v>494</v>
      </c>
      <c r="B4" s="9" t="s">
        <v>495</v>
      </c>
      <c r="C4" s="9" t="s">
        <v>496</v>
      </c>
      <c r="D4" s="9" t="s">
        <v>497</v>
      </c>
      <c r="E4" s="9" t="s">
        <v>498</v>
      </c>
      <c r="F4" s="9" t="s">
        <v>499</v>
      </c>
    </row>
    <row r="5" customFormat="false" ht="15" hidden="false" customHeight="false" outlineLevel="0" collapsed="false">
      <c r="A5" s="10" t="s">
        <v>134</v>
      </c>
      <c r="B5" s="47" t="n">
        <f aca="false">Historicals!$C$5+Inputs!$B$87</f>
        <v>18.396</v>
      </c>
      <c r="C5" s="47" t="n">
        <f aca="false">B5*(1+Inputs!$B$92)</f>
        <v>22.995</v>
      </c>
      <c r="D5" s="47" t="n">
        <f aca="false">C5*(1+Inputs!$B$93)</f>
        <v>27.1341</v>
      </c>
      <c r="E5" s="47" t="n">
        <f aca="false">D5*(1+Inputs!$B$94)</f>
        <v>30.932874</v>
      </c>
      <c r="F5" s="47" t="n">
        <f aca="false">E5*(1+Inputs!$B$95)</f>
        <v>34.0261614</v>
      </c>
    </row>
    <row r="6" customFormat="false" ht="15" hidden="false" customHeight="false" outlineLevel="0" collapsed="false">
      <c r="A6" s="10" t="s">
        <v>500</v>
      </c>
      <c r="B6" s="47" t="n">
        <f aca="false">Historicals!$C$6+Inputs!$B$88</f>
        <v>23.939</v>
      </c>
      <c r="C6" s="47" t="n">
        <f aca="false">B6*(1+Inputs!$B$96)</f>
        <v>59.8475</v>
      </c>
      <c r="D6" s="47" t="n">
        <f aca="false">C6*(1+Inputs!$B$97)</f>
        <v>77.80175</v>
      </c>
      <c r="E6" s="47" t="n">
        <f aca="false">D6*(1+Inputs!$B$98)</f>
        <v>93.3621</v>
      </c>
      <c r="F6" s="47" t="n">
        <f aca="false">E6*(1+Inputs!$B$99)</f>
        <v>107.366415</v>
      </c>
    </row>
    <row r="7" customFormat="false" ht="15" hidden="false" customHeight="false" outlineLevel="0" collapsed="false">
      <c r="A7" s="10" t="s">
        <v>135</v>
      </c>
      <c r="B7" s="47" t="n">
        <f aca="false">Historicals!$C$7+Inputs!$B$89</f>
        <v>5.048</v>
      </c>
      <c r="C7" s="47" t="n">
        <f aca="false">B7*(1+Inputs!$B$100)</f>
        <v>5.3004</v>
      </c>
      <c r="D7" s="47" t="n">
        <f aca="false">C7*(1+Inputs!$B$101)</f>
        <v>5.56542</v>
      </c>
      <c r="E7" s="47" t="n">
        <f aca="false">D7*(1+Inputs!$B$102)</f>
        <v>5.843691</v>
      </c>
      <c r="F7" s="47" t="n">
        <f aca="false">E7*(1+Inputs!$B$103)</f>
        <v>6.13587555</v>
      </c>
    </row>
    <row r="8" customFormat="false" ht="15" hidden="false" customHeight="false" outlineLevel="0" collapsed="false">
      <c r="A8" s="13" t="s">
        <v>108</v>
      </c>
      <c r="B8" s="18" t="n">
        <f aca="false">B5+B6+B7</f>
        <v>47.383</v>
      </c>
      <c r="C8" s="18" t="n">
        <f aca="false">C5+C6+C7</f>
        <v>88.1429</v>
      </c>
      <c r="D8" s="18" t="n">
        <f aca="false">D5+D6+D7</f>
        <v>110.50127</v>
      </c>
      <c r="E8" s="18" t="n">
        <f aca="false">E5+E6+E7</f>
        <v>130.138665</v>
      </c>
      <c r="F8" s="18" t="n">
        <f aca="false">F5+F6+F7</f>
        <v>147.52845195</v>
      </c>
    </row>
    <row r="9" customFormat="false" ht="15" hidden="false" customHeight="false" outlineLevel="0" collapsed="false">
      <c r="A9" s="10" t="s">
        <v>501</v>
      </c>
      <c r="C9" s="19" t="n">
        <f aca="false">IFERROR(C8/B8-1,0)</f>
        <v>0.860222020555896</v>
      </c>
      <c r="D9" s="19" t="n">
        <f aca="false">IFERROR(D8/C8-1,0)</f>
        <v>0.253660476340125</v>
      </c>
      <c r="E9" s="19" t="n">
        <f aca="false">IFERROR(E8/D8-1,0)</f>
        <v>0.177711939419339</v>
      </c>
      <c r="F9" s="19" t="n">
        <f aca="false">IFERROR(F8/E8-1,0)</f>
        <v>0.133625060238631</v>
      </c>
    </row>
    <row r="10" customFormat="false" ht="15" hidden="false" customHeight="false" outlineLevel="0" collapsed="false">
      <c r="A10" s="10" t="s">
        <v>502</v>
      </c>
      <c r="C10" s="47" t="n">
        <f aca="false">C5*(Inputs!$B$104+(Inputs!$B$105-Inputs!$B$104)*0/3)</f>
        <v>14.2569</v>
      </c>
      <c r="D10" s="47" t="n">
        <f aca="false">D5*(Inputs!$B$104+(Inputs!$B$105-Inputs!$B$104)*1/3)</f>
        <v>16.461354</v>
      </c>
      <c r="E10" s="47" t="n">
        <f aca="false">E5*(Inputs!$B$104+(Inputs!$B$105-Inputs!$B$104)*2/3)</f>
        <v>18.35350524</v>
      </c>
      <c r="F10" s="47" t="n">
        <f aca="false">F5*(Inputs!$B$104+(Inputs!$B$105-Inputs!$B$104)*3/3)</f>
        <v>19.735173612</v>
      </c>
    </row>
    <row r="11" customFormat="false" ht="15" hidden="false" customHeight="false" outlineLevel="0" collapsed="false">
      <c r="A11" s="10" t="s">
        <v>503</v>
      </c>
      <c r="C11" s="47" t="n">
        <f aca="false">C6*(Inputs!$B$106+(Inputs!$B$107-Inputs!$B$106)*0/3)</f>
        <v>28.7268</v>
      </c>
      <c r="D11" s="47" t="n">
        <f aca="false">D6*(Inputs!$B$106+(Inputs!$B$107-Inputs!$B$106)*1/3)</f>
        <v>36.0481441666667</v>
      </c>
      <c r="E11" s="47" t="n">
        <f aca="false">E6*(Inputs!$B$106+(Inputs!$B$107-Inputs!$B$106)*2/3)</f>
        <v>41.701738</v>
      </c>
      <c r="F11" s="47" t="n">
        <f aca="false">F6*(Inputs!$B$106+(Inputs!$B$107-Inputs!$B$106)*3/3)</f>
        <v>46.16755845</v>
      </c>
    </row>
    <row r="12" customFormat="false" ht="15" hidden="false" customHeight="false" outlineLevel="0" collapsed="false">
      <c r="A12" s="10" t="s">
        <v>504</v>
      </c>
      <c r="C12" s="47" t="n">
        <f aca="false">C7*(Inputs!$B$108+(Inputs!$B$109-Inputs!$B$108)*0/3)</f>
        <v>0.954072</v>
      </c>
      <c r="D12" s="47" t="n">
        <f aca="false">D7*(Inputs!$B$108+(Inputs!$B$109-Inputs!$B$108)*1/3)</f>
        <v>1.0945326</v>
      </c>
      <c r="E12" s="47" t="n">
        <f aca="false">E7*(Inputs!$B$108+(Inputs!$B$109-Inputs!$B$108)*2/3)</f>
        <v>1.24665408</v>
      </c>
      <c r="F12" s="47" t="n">
        <f aca="false">F7*(Inputs!$B$108+(Inputs!$B$109-Inputs!$B$108)*3/3)</f>
        <v>1.4112513765</v>
      </c>
    </row>
    <row r="13" customFormat="false" ht="15" hidden="false" customHeight="false" outlineLevel="0" collapsed="false">
      <c r="A13" s="10" t="s">
        <v>505</v>
      </c>
      <c r="C13" s="47" t="n">
        <f aca="false">C10+C11+C12</f>
        <v>43.937772</v>
      </c>
      <c r="D13" s="47" t="n">
        <f aca="false">D10+D11+D12</f>
        <v>53.6040307666667</v>
      </c>
      <c r="E13" s="47" t="n">
        <f aca="false">E10+E11+E12</f>
        <v>61.30189732</v>
      </c>
      <c r="F13" s="47" t="n">
        <f aca="false">F10+F11+F12</f>
        <v>67.3139834385</v>
      </c>
    </row>
    <row r="14" customFormat="false" ht="15" hidden="false" customHeight="false" outlineLevel="0" collapsed="false">
      <c r="A14" s="10" t="s">
        <v>506</v>
      </c>
      <c r="B14" s="47" t="n">
        <f aca="false">(Inputs!$B$87+Inputs!$B$88+Inputs!$B$89)*Inputs!$B$110</f>
        <v>1.624</v>
      </c>
      <c r="C14" s="47" t="n">
        <f aca="false">C8*Inputs!$B$110</f>
        <v>7.051432</v>
      </c>
      <c r="D14" s="47" t="n">
        <f aca="false">D8*Inputs!$B$110</f>
        <v>8.8401016</v>
      </c>
      <c r="E14" s="47" t="n">
        <f aca="false">E8*Inputs!$B$110</f>
        <v>10.4110932</v>
      </c>
      <c r="F14" s="47" t="n">
        <f aca="false">F8*Inputs!$B$110</f>
        <v>11.802276156</v>
      </c>
    </row>
    <row r="15" customFormat="false" ht="15" hidden="false" customHeight="false" outlineLevel="0" collapsed="false">
      <c r="A15" s="10" t="s">
        <v>507</v>
      </c>
      <c r="B15" s="47" t="n">
        <f aca="false">(1-Inputs!$B$14)*Historicals!B$67</f>
        <v>0</v>
      </c>
      <c r="C15" s="47" t="n">
        <f aca="false">(1-Inputs!$B$14)*Historicals!C$67</f>
        <v>0</v>
      </c>
      <c r="D15" s="47" t="n">
        <f aca="false">(1-Inputs!$B$14)*Historicals!D$67</f>
        <v>0</v>
      </c>
      <c r="E15" s="47" t="n">
        <f aca="false">(1-Inputs!$B$14)*Historicals!E$67</f>
        <v>0</v>
      </c>
      <c r="F15" s="26" t="n">
        <v>0</v>
      </c>
      <c r="G15" s="6" t="s">
        <v>508</v>
      </c>
    </row>
    <row r="16" customFormat="false" ht="15" hidden="false" customHeight="false" outlineLevel="0" collapsed="false">
      <c r="A16" s="10" t="s">
        <v>509</v>
      </c>
      <c r="B16" s="47" t="n">
        <f aca="false">Historicals!$C$13+Inputs!$B$50/4</f>
        <v>3.56</v>
      </c>
      <c r="C16" s="47" t="n">
        <f aca="false">Inputs!$B$50*MAX(0,MIN(1,(Inputs!$B$54-1+0.5)/Inputs!$B$54))+$B26*IF(1&lt;=Inputs!$B$46,1,0)/Inputs!$B$46+C22*0.5/Inputs!$B$46</f>
        <v>4.72488092584086</v>
      </c>
      <c r="D16" s="47" t="n">
        <f aca="false">Inputs!$B$50*MAX(0,MIN(1,(Inputs!$B$54-2+0.5)/Inputs!$B$54))+$B26*IF(2&lt;=Inputs!$B$46,1,0)/Inputs!$B$46+C22*IF(1&lt;=Inputs!$B$46-1,1,IF(1=Inputs!$B$46,0.5,0))/Inputs!$B$46+D22*0.5/Inputs!$B$46</f>
        <v>5.05204872584086</v>
      </c>
      <c r="E16" s="47" t="n">
        <f aca="false">Inputs!$B$50*MAX(0,MIN(1,(Inputs!$B$54-3+0.5)/Inputs!$B$54))+$B26*IF(3&lt;=Inputs!$B$46,1,0)/Inputs!$B$46+C22*IF(2&lt;=Inputs!$B$46-1,1,IF(2=Inputs!$B$46,0.5,0))/Inputs!$B$46+D22*IF(1&lt;=Inputs!$B$46-1,1,IF(1=Inputs!$B$46,0.5,0))/Inputs!$B$46+E22*0.5/Inputs!$B$46</f>
        <v>5.39525783784086</v>
      </c>
      <c r="F16" s="47" t="n">
        <f aca="false">Inputs!$B$50*MAX(0,MIN(1,(Inputs!$B$54-4+0.5)/Inputs!$B$54))+$B26*IF(4&lt;=Inputs!$B$46,1,0)/Inputs!$B$46+C22*IF(3&lt;=Inputs!$B$46-1,1,IF(3=Inputs!$B$46,0.5,0))/Inputs!$B$46+D22*IF(2&lt;=Inputs!$B$46-1,1,IF(2=Inputs!$B$46,0.5,0))/Inputs!$B$46+E22*IF(1&lt;=Inputs!$B$46-1,1,IF(1=Inputs!$B$46,0.5,0))/Inputs!$B$46+F22*0.5/Inputs!$B$46</f>
        <v>5.68163005504086</v>
      </c>
    </row>
    <row r="17" customFormat="false" ht="15" hidden="false" customHeight="false" outlineLevel="0" collapsed="false">
      <c r="A17" s="10" t="s">
        <v>510</v>
      </c>
      <c r="B17" s="47" t="n">
        <f aca="false">Historicals!$C$14+Inputs!$B$51/4</f>
        <v>8.324</v>
      </c>
      <c r="C17" s="47" t="n">
        <f aca="false">Inputs!$B$51*MAX(0,MIN(1,(Inputs!$B$55-1+0.5)/Inputs!$B$55))+$B27*IF(1&lt;=Inputs!$B$47,1,0)/Inputs!$B$47+C23*0.5/Inputs!$B$47</f>
        <v>20.5383961968925</v>
      </c>
      <c r="D17" s="47" t="n">
        <f aca="false">Inputs!$B$51*MAX(0,MIN(1,(Inputs!$B$55-2+0.5)/Inputs!$B$55))+$B27*IF(2&lt;=Inputs!$B$47,1,0)/Inputs!$B$47+C23*IF(1&lt;=Inputs!$B$47-1,1,IF(1=Inputs!$B$47,0.5,0))/Inputs!$B$47+D23*0.5/Inputs!$B$47</f>
        <v>32.253674173083</v>
      </c>
      <c r="E17" s="47" t="n">
        <f aca="false">Inputs!$B$51*MAX(0,MIN(1,(Inputs!$B$55-3+0.5)/Inputs!$B$55))+$B27*IF(3&lt;=Inputs!$B$47,1,0)/Inputs!$B$47+C23*IF(2&lt;=Inputs!$B$47-1,1,IF(2=Inputs!$B$47,0.5,0))/Inputs!$B$47+D23*IF(1&lt;=Inputs!$B$47-1,1,IF(1=Inputs!$B$47,0.5,0))/Inputs!$B$47+E23*0.5/Inputs!$B$47</f>
        <v>42.9087964349877</v>
      </c>
      <c r="F17" s="47" t="n">
        <f aca="false">Inputs!$B$51*MAX(0,MIN(1,(Inputs!$B$55-4+0.5)/Inputs!$B$55))+$B27*IF(4&lt;=Inputs!$B$47,1,0)/Inputs!$B$47+C23*IF(3&lt;=Inputs!$B$47-1,1,IF(3=Inputs!$B$47,0.5,0))/Inputs!$B$47+D23*IF(2&lt;=Inputs!$B$47-1,1,IF(2=Inputs!$B$47,0.5,0))/Inputs!$B$47+E23*IF(1&lt;=Inputs!$B$47-1,1,IF(1=Inputs!$B$47,0.5,0))/Inputs!$B$47+F23*0.5/Inputs!$B$47</f>
        <v>50.5444698278449</v>
      </c>
    </row>
    <row r="18" customFormat="false" ht="15" hidden="false" customHeight="false" outlineLevel="0" collapsed="false">
      <c r="A18" s="10" t="s">
        <v>511</v>
      </c>
      <c r="B18" s="47" t="n">
        <f aca="false">Historicals!$C$15+Inputs!$B$52/4</f>
        <v>0.694</v>
      </c>
      <c r="C18" s="47" t="n">
        <f aca="false">Inputs!$B$52*MAX(0,MIN(1,(Inputs!$B$56-1+0.5)/Inputs!$B$56))+$B28*IF(1&lt;=Inputs!$B$48,1,0)/Inputs!$B$48+C24*0.5/Inputs!$B$48</f>
        <v>1.21822153258817</v>
      </c>
      <c r="D18" s="47" t="n">
        <f aca="false">Inputs!$B$52*MAX(0,MIN(1,(Inputs!$B$56-2+0.5)/Inputs!$B$56))+$B28*IF(2&lt;=Inputs!$B$48,1,0)/Inputs!$B$48+C24*IF(1&lt;=Inputs!$B$48-1,1,IF(1=Inputs!$B$48,0.5,0))/Inputs!$B$48+D24*0.5/Inputs!$B$48</f>
        <v>1.50169389925484</v>
      </c>
      <c r="E18" s="47" t="n">
        <f aca="false">Inputs!$B$52*MAX(0,MIN(1,(Inputs!$B$56-3+0.5)/Inputs!$B$56))+$B28*IF(3&lt;=Inputs!$B$48,1,0)/Inputs!$B$48+C24*IF(2&lt;=Inputs!$B$48-1,1,IF(2=Inputs!$B$48,0.5,0))/Inputs!$B$48+D24*IF(1&lt;=Inputs!$B$48-1,1,IF(1=Inputs!$B$48,0.5,0))/Inputs!$B$48+E24*0.5/Inputs!$B$48</f>
        <v>1.7484609959215</v>
      </c>
      <c r="F18" s="47" t="n">
        <f aca="false">Inputs!$B$52*MAX(0,MIN(1,(Inputs!$B$56-4+0.5)/Inputs!$B$56))+$B28*IF(4&lt;=Inputs!$B$48,1,0)/Inputs!$B$48+C24*IF(3&lt;=Inputs!$B$48-1,1,IF(3=Inputs!$B$48,0.5,0))/Inputs!$B$48+D24*IF(2&lt;=Inputs!$B$48-1,1,IF(2=Inputs!$B$48,0.5,0))/Inputs!$B$48+E24*IF(1&lt;=Inputs!$B$48-1,1,IF(1=Inputs!$B$48,0.5,0))/Inputs!$B$48+F24*0.5/Inputs!$B$48</f>
        <v>1.95383528133817</v>
      </c>
    </row>
    <row r="19" customFormat="false" ht="15" hidden="false" customHeight="false" outlineLevel="0" collapsed="false">
      <c r="A19" s="10" t="s">
        <v>512</v>
      </c>
      <c r="B19" s="47" t="n">
        <f aca="false">B16+B17+B18</f>
        <v>12.578</v>
      </c>
      <c r="C19" s="47" t="n">
        <f aca="false">C16+C17+C18</f>
        <v>26.4814986553215</v>
      </c>
      <c r="D19" s="47" t="n">
        <f aca="false">D16+D17+D18</f>
        <v>38.8074167981787</v>
      </c>
      <c r="E19" s="47" t="n">
        <f aca="false">E16+E17+E18</f>
        <v>50.0525152687501</v>
      </c>
      <c r="F19" s="47" t="n">
        <f aca="false">F16+F17+F18</f>
        <v>58.1799351642239</v>
      </c>
    </row>
    <row r="20" customFormat="false" ht="15" hidden="false" customHeight="false" outlineLevel="0" collapsed="false">
      <c r="A20" s="13" t="s">
        <v>513</v>
      </c>
      <c r="B20" s="18" t="n">
        <f aca="false">Historicals!$C$12+(Inputs!$B$87+Inputs!$B$88+Inputs!$B$89)*Inputs!$B$90-B15</f>
        <v>2.735</v>
      </c>
      <c r="C20" s="18" t="n">
        <f aca="false">C13-C14-C15-C19</f>
        <v>10.4048413446785</v>
      </c>
      <c r="D20" s="18" t="n">
        <f aca="false">D13-D14-D15-D19</f>
        <v>5.95651236848801</v>
      </c>
      <c r="E20" s="18" t="n">
        <f aca="false">E13-E14-E15-E19</f>
        <v>0.838288851249914</v>
      </c>
      <c r="F20" s="18" t="n">
        <f aca="false">F13-F14-F15-F19</f>
        <v>-2.6682278817239</v>
      </c>
    </row>
    <row r="21" customFormat="false" ht="15" hidden="false" customHeight="false" outlineLevel="0" collapsed="false">
      <c r="A21" s="10" t="s">
        <v>514</v>
      </c>
      <c r="B21" s="19" t="n">
        <f aca="false">IFERROR(B20/B8,0)</f>
        <v>0.0577211236097335</v>
      </c>
      <c r="C21" s="19" t="n">
        <f aca="false">IFERROR(C20/C8,0)</f>
        <v>0.118045144245067</v>
      </c>
      <c r="D21" s="19" t="n">
        <f aca="false">IFERROR(D20/D8,0)</f>
        <v>0.0539044697720489</v>
      </c>
      <c r="E21" s="19" t="n">
        <f aca="false">IFERROR(E20/E8,0)</f>
        <v>0.00644150492284452</v>
      </c>
      <c r="F21" s="19" t="n">
        <f aca="false">IFERROR(F20/F8,0)</f>
        <v>-0.0180861918257518</v>
      </c>
    </row>
    <row r="22" customFormat="false" ht="15" hidden="false" customHeight="false" outlineLevel="0" collapsed="false">
      <c r="A22" s="10" t="s">
        <v>515</v>
      </c>
      <c r="B22" s="47" t="n">
        <f aca="false">Historicals!$C$19+B26</f>
        <v>7.39210462920431</v>
      </c>
      <c r="C22" s="47" t="n">
        <f aca="false">C5*(Inputs!$B$111+(Inputs!$B$112-Inputs!$B$111)*0/3)</f>
        <v>6.4386</v>
      </c>
      <c r="D22" s="47" t="n">
        <f aca="false">D5*(Inputs!$B$111+(Inputs!$B$112-Inputs!$B$111)*1/3)</f>
        <v>6.693078</v>
      </c>
      <c r="E22" s="47" t="n">
        <f aca="false">E5*(Inputs!$B$111+(Inputs!$B$112-Inputs!$B$111)*2/3)</f>
        <v>6.59901312</v>
      </c>
      <c r="F22" s="47" t="n">
        <f aca="false">F5*(Inputs!$B$111+(Inputs!$B$112-Inputs!$B$111)*3/3)</f>
        <v>6.124709052</v>
      </c>
    </row>
    <row r="23" customFormat="false" ht="15" hidden="false" customHeight="false" outlineLevel="0" collapsed="false">
      <c r="A23" s="10" t="s">
        <v>516</v>
      </c>
      <c r="B23" s="47" t="n">
        <f aca="false">Historicals!$C$20+B27</f>
        <v>73.5661733782473</v>
      </c>
      <c r="C23" s="47" t="n">
        <f aca="false">C6*(Inputs!$B$113+(Inputs!$B$114-Inputs!$B$113)*0/3)</f>
        <v>95.756</v>
      </c>
      <c r="D23" s="47" t="n">
        <f aca="false">D6*(Inputs!$B$113+(Inputs!$B$114-Inputs!$B$113)*1/3)</f>
        <v>95.9554916666667</v>
      </c>
      <c r="E23" s="47" t="n">
        <f aca="false">E6*(Inputs!$B$113+(Inputs!$B$114-Inputs!$B$113)*2/3)</f>
        <v>80.91382</v>
      </c>
      <c r="F23" s="47" t="n">
        <f aca="false">F6*(Inputs!$B$113+(Inputs!$B$114-Inputs!$B$113)*3/3)</f>
        <v>53.6832075</v>
      </c>
    </row>
    <row r="24" customFormat="false" ht="15" hidden="false" customHeight="false" outlineLevel="0" collapsed="false">
      <c r="A24" s="10" t="s">
        <v>517</v>
      </c>
      <c r="B24" s="47" t="n">
        <f aca="false">Historicals!$C$21+B28</f>
        <v>7.11072199254836</v>
      </c>
      <c r="C24" s="47" t="n">
        <f aca="false">C7*(Inputs!$B$115+(Inputs!$B$116-Inputs!$B$115)*0/3)</f>
        <v>4.24032</v>
      </c>
      <c r="D24" s="47" t="n">
        <f aca="false">D7*(Inputs!$B$115+(Inputs!$B$116-Inputs!$B$115)*1/3)</f>
        <v>3.895794</v>
      </c>
      <c r="E24" s="47" t="n">
        <f aca="false">E7*(Inputs!$B$115+(Inputs!$B$116-Inputs!$B$115)*2/3)</f>
        <v>3.5062146</v>
      </c>
      <c r="F24" s="47" t="n">
        <f aca="false">F7*(Inputs!$B$115+(Inputs!$B$116-Inputs!$B$115)*3/3)</f>
        <v>3.067937775</v>
      </c>
    </row>
    <row r="25" customFormat="false" ht="15" hidden="false" customHeight="false" outlineLevel="0" collapsed="false">
      <c r="A25" s="10" t="s">
        <v>518</v>
      </c>
      <c r="B25" s="47" t="n">
        <f aca="false">B22+B23+B24</f>
        <v>88.069</v>
      </c>
      <c r="C25" s="47" t="n">
        <f aca="false">C22+C23+C24</f>
        <v>106.43492</v>
      </c>
      <c r="D25" s="47" t="n">
        <f aca="false">D22+D23+D24</f>
        <v>106.544363666667</v>
      </c>
      <c r="E25" s="47" t="n">
        <f aca="false">E22+E23+E24</f>
        <v>91.01904772</v>
      </c>
      <c r="F25" s="47" t="n">
        <f aca="false">F22+F23+F24</f>
        <v>62.875854327</v>
      </c>
    </row>
    <row r="26" customFormat="false" ht="15" hidden="false" customHeight="false" outlineLevel="0" collapsed="false">
      <c r="A26" s="10" t="s">
        <v>519</v>
      </c>
      <c r="B26" s="47" t="n">
        <f aca="false">Inputs!$B$91*Historicals!$B$19/Historicals!$B$22</f>
        <v>3.15010462920431</v>
      </c>
    </row>
    <row r="27" customFormat="false" ht="15" hidden="false" customHeight="false" outlineLevel="0" collapsed="false">
      <c r="A27" s="10" t="s">
        <v>520</v>
      </c>
      <c r="B27" s="47" t="n">
        <f aca="false">Inputs!$B$91*Historicals!$B$20/Historicals!$B$22</f>
        <v>33.5711733782473</v>
      </c>
    </row>
    <row r="28" customFormat="false" ht="15" hidden="false" customHeight="false" outlineLevel="0" collapsed="false">
      <c r="A28" s="10" t="s">
        <v>521</v>
      </c>
      <c r="B28" s="47" t="n">
        <f aca="false">Inputs!$B$91*Historicals!$B$21/Historicals!$B$22</f>
        <v>3.27872199254836</v>
      </c>
    </row>
    <row r="29" customFormat="false" ht="15" hidden="false" customHeight="false" outlineLevel="0" collapsed="false">
      <c r="A29" s="10" t="s">
        <v>522</v>
      </c>
      <c r="C29" s="48" t="n">
        <f aca="false">IFERROR(C25/C19,0)</f>
        <v>4.01921814869083</v>
      </c>
      <c r="D29" s="48" t="n">
        <f aca="false">IFERROR(D25/D19,0)</f>
        <v>2.7454639462544</v>
      </c>
      <c r="E29" s="48" t="n">
        <f aca="false">IFERROR(E25/E19,0)</f>
        <v>1.81847100452966</v>
      </c>
      <c r="F29" s="48" t="n">
        <f aca="false">IFERROR(F25/F19,0)</f>
        <v>1.08071372285859</v>
      </c>
    </row>
    <row r="30" customFormat="false" ht="15" hidden="false" customHeight="false" outlineLevel="0" collapsed="false">
      <c r="A30" s="10" t="s">
        <v>523</v>
      </c>
      <c r="B30" s="47" t="n">
        <f aca="false">B20-Inputs!$B$37*B25+Inputs!$B$37*B19</f>
        <v>-50.1087</v>
      </c>
      <c r="C30" s="47" t="n">
        <f aca="false">C20-Inputs!$B$37*C25+Inputs!$B$37*C19</f>
        <v>-45.5625535965965</v>
      </c>
      <c r="D30" s="47" t="n">
        <f aca="false">D20-Inputs!$B$37*D25+Inputs!$B$37*D19</f>
        <v>-41.4593504394536</v>
      </c>
      <c r="E30" s="47" t="n">
        <f aca="false">E20-Inputs!$B$37*E25+Inputs!$B$37*E19</f>
        <v>-27.838283864625</v>
      </c>
      <c r="F30" s="47" t="n">
        <f aca="false">F20-Inputs!$B$37*F25+Inputs!$B$37*F19</f>
        <v>-5.95537129566717</v>
      </c>
    </row>
    <row r="31" customFormat="false" ht="15" hidden="false" customHeight="false" outlineLevel="0" collapsed="false">
      <c r="A31" s="10" t="s">
        <v>524</v>
      </c>
      <c r="B31" s="47" t="n">
        <f aca="false">MIN(Historicals!$B$47,MAX(0,B30),1E+099)</f>
        <v>0</v>
      </c>
      <c r="C31" s="47" t="n">
        <f aca="false">MIN(B33,MAX(0,C30),Inputs!$B$36)</f>
        <v>0</v>
      </c>
      <c r="D31" s="47" t="n">
        <f aca="false">MIN(C33,MAX(0,D30),Inputs!$B$36)</f>
        <v>0</v>
      </c>
      <c r="E31" s="47" t="n">
        <f aca="false">MIN(D33,MAX(0,E30),Inputs!$B$36)</f>
        <v>0</v>
      </c>
      <c r="F31" s="47" t="n">
        <f aca="false">MIN(E33,MAX(0,F30),Inputs!$B$36)</f>
        <v>0</v>
      </c>
    </row>
    <row r="32" customFormat="false" ht="15" hidden="false" customHeight="false" outlineLevel="0" collapsed="false">
      <c r="A32" s="10" t="s">
        <v>525</v>
      </c>
      <c r="B32" s="47" t="n">
        <f aca="false">MIN(0,MAX(0,B30)-B31)</f>
        <v>0</v>
      </c>
      <c r="C32" s="47" t="n">
        <f aca="false">MIN(B34,MAX(0,C30)-C31)</f>
        <v>0</v>
      </c>
      <c r="D32" s="47" t="n">
        <f aca="false">MIN(C34,MAX(0,D30)-D31)</f>
        <v>0</v>
      </c>
      <c r="E32" s="47" t="n">
        <f aca="false">MIN(D34,MAX(0,E30)-E31)</f>
        <v>0</v>
      </c>
      <c r="F32" s="47" t="n">
        <f aca="false">MIN(E34,MAX(0,F30)-F31)</f>
        <v>0</v>
      </c>
    </row>
    <row r="33" customFormat="false" ht="15" hidden="false" customHeight="false" outlineLevel="0" collapsed="false">
      <c r="A33" s="10" t="s">
        <v>526</v>
      </c>
      <c r="B33" s="47" t="n">
        <f aca="false">Historicals!$B$47-B31+MAX(0,-B30)</f>
        <v>55.3427</v>
      </c>
      <c r="C33" s="47" t="n">
        <f aca="false">B33-C31</f>
        <v>55.3427</v>
      </c>
      <c r="D33" s="47" t="n">
        <f aca="false">C33-D31</f>
        <v>55.3427</v>
      </c>
      <c r="E33" s="47" t="n">
        <f aca="false">D33-E31</f>
        <v>55.3427</v>
      </c>
      <c r="F33" s="47" t="n">
        <f aca="false">E33-F31</f>
        <v>55.3427</v>
      </c>
    </row>
    <row r="34" customFormat="false" ht="15" hidden="false" customHeight="false" outlineLevel="0" collapsed="false">
      <c r="A34" s="10" t="s">
        <v>527</v>
      </c>
      <c r="B34" s="26" t="n">
        <v>0</v>
      </c>
      <c r="C34" s="47" t="n">
        <f aca="false">B34-C32+MAX(0,-C30)</f>
        <v>45.5625535965965</v>
      </c>
      <c r="D34" s="47" t="n">
        <f aca="false">C34-D32+MAX(0,-D30)</f>
        <v>87.0219040360501</v>
      </c>
      <c r="E34" s="47" t="n">
        <f aca="false">D34-E32+MAX(0,-E30)</f>
        <v>114.860187900675</v>
      </c>
      <c r="F34" s="47" t="n">
        <f aca="false">E34-F32+MAX(0,-F30)</f>
        <v>120.815559196342</v>
      </c>
    </row>
    <row r="35" customFormat="false" ht="15" hidden="false" customHeight="false" outlineLevel="0" collapsed="false">
      <c r="A35" s="10" t="s">
        <v>528</v>
      </c>
      <c r="B35" s="47" t="n">
        <f aca="false">MAX(0,B30-B31-B32)*Inputs!$B$34</f>
        <v>0</v>
      </c>
      <c r="C35" s="47" t="n">
        <f aca="false">MAX(0,C30-C31-C32)*Inputs!$B$34</f>
        <v>0</v>
      </c>
      <c r="D35" s="47" t="n">
        <f aca="false">MAX(0,D30-D31-D32)*Inputs!$B$34</f>
        <v>0</v>
      </c>
      <c r="E35" s="47" t="n">
        <f aca="false">MAX(0,E30-E31-E32)*Inputs!$B$34</f>
        <v>0</v>
      </c>
      <c r="F35" s="47" t="n">
        <f aca="false">MAX(0,F30-F31-F32)*Inputs!$B$34</f>
        <v>0</v>
      </c>
    </row>
    <row r="36" customFormat="false" ht="15" hidden="false" customHeight="false" outlineLevel="0" collapsed="false">
      <c r="A36" s="10" t="s">
        <v>529</v>
      </c>
      <c r="B36" s="47" t="n">
        <f aca="false">B30-B35</f>
        <v>-50.1087</v>
      </c>
      <c r="C36" s="47" t="n">
        <f aca="false">C30-C35</f>
        <v>-45.5625535965965</v>
      </c>
      <c r="D36" s="47" t="n">
        <f aca="false">D30-D35</f>
        <v>-41.4593504394536</v>
      </c>
      <c r="E36" s="47" t="n">
        <f aca="false">E30-E35</f>
        <v>-27.838283864625</v>
      </c>
      <c r="F36" s="47" t="n">
        <f aca="false">F30-F35</f>
        <v>-5.95537129566717</v>
      </c>
    </row>
    <row r="37" customFormat="false" ht="15" hidden="false" customHeight="false" outlineLevel="0" collapsed="false">
      <c r="A37" s="10" t="s">
        <v>530</v>
      </c>
      <c r="B37" s="47" t="n">
        <f aca="false">MIN(Historicals!$B$46,Inputs!$B$35*MAX(0,B36),1E+099)</f>
        <v>0</v>
      </c>
      <c r="C37" s="47" t="n">
        <f aca="false">MIN(B39,Inputs!$B$35*MAX(0,C36),Inputs!$B$36)</f>
        <v>0</v>
      </c>
      <c r="D37" s="47" t="n">
        <f aca="false">MIN(C39,Inputs!$B$35*MAX(0,D36),Inputs!$B$36)</f>
        <v>0</v>
      </c>
      <c r="E37" s="47" t="n">
        <f aca="false">MIN(D39,Inputs!$B$35*MAX(0,E36),Inputs!$B$36)</f>
        <v>0</v>
      </c>
      <c r="F37" s="47" t="n">
        <f aca="false">MIN(E39,Inputs!$B$35*MAX(0,F36),Inputs!$B$36)</f>
        <v>0</v>
      </c>
    </row>
    <row r="38" customFormat="false" ht="15" hidden="false" customHeight="false" outlineLevel="0" collapsed="false">
      <c r="A38" s="10" t="s">
        <v>531</v>
      </c>
      <c r="B38" s="47" t="n">
        <f aca="false">MIN(0,Inputs!$B$35*MAX(0,B36)-B37)</f>
        <v>0</v>
      </c>
      <c r="C38" s="47" t="n">
        <f aca="false">MIN(B40,Inputs!$B$35*MAX(0,C36)-C37)</f>
        <v>0</v>
      </c>
      <c r="D38" s="47" t="n">
        <f aca="false">MIN(C40,Inputs!$B$35*MAX(0,D36)-D37)</f>
        <v>0</v>
      </c>
      <c r="E38" s="47" t="n">
        <f aca="false">MIN(D40,Inputs!$B$35*MAX(0,E36)-E37)</f>
        <v>0</v>
      </c>
      <c r="F38" s="47" t="n">
        <f aca="false">MIN(E40,Inputs!$B$35*MAX(0,F36)-F37)</f>
        <v>0</v>
      </c>
    </row>
    <row r="39" customFormat="false" ht="15" hidden="false" customHeight="false" outlineLevel="0" collapsed="false">
      <c r="A39" s="10" t="s">
        <v>532</v>
      </c>
      <c r="B39" s="47" t="n">
        <f aca="false">Historicals!$B$46-B37+MAX(0,-B36)</f>
        <v>59.8367</v>
      </c>
      <c r="C39" s="47" t="n">
        <f aca="false">B39-C37</f>
        <v>59.8367</v>
      </c>
      <c r="D39" s="47" t="n">
        <f aca="false">C39-D37</f>
        <v>59.8367</v>
      </c>
      <c r="E39" s="47" t="n">
        <f aca="false">D39-E37</f>
        <v>59.8367</v>
      </c>
      <c r="F39" s="47" t="n">
        <f aca="false">E39-F37</f>
        <v>59.8367</v>
      </c>
    </row>
    <row r="40" customFormat="false" ht="15" hidden="false" customHeight="false" outlineLevel="0" collapsed="false">
      <c r="A40" s="10" t="s">
        <v>533</v>
      </c>
      <c r="B40" s="26" t="n">
        <v>0</v>
      </c>
      <c r="C40" s="47" t="n">
        <f aca="false">B40-C38+MAX(0,-C36)</f>
        <v>45.5625535965965</v>
      </c>
      <c r="D40" s="47" t="n">
        <f aca="false">C40-D38+MAX(0,-D36)</f>
        <v>87.0219040360501</v>
      </c>
      <c r="E40" s="47" t="n">
        <f aca="false">D40-E38+MAX(0,-E36)</f>
        <v>114.860187900675</v>
      </c>
      <c r="F40" s="47" t="n">
        <f aca="false">E40-F38+MAX(0,-F36)</f>
        <v>120.815559196342</v>
      </c>
    </row>
    <row r="41" customFormat="false" ht="15" hidden="false" customHeight="false" outlineLevel="0" collapsed="false">
      <c r="A41" s="10" t="s">
        <v>534</v>
      </c>
      <c r="B41" s="47" t="n">
        <f aca="false">MAX(0,B36-B37-B38)*Inputs!$B$33</f>
        <v>0</v>
      </c>
      <c r="C41" s="47" t="n">
        <f aca="false">MAX(0,C36-C37-C38)*Inputs!$B$33</f>
        <v>0</v>
      </c>
      <c r="D41" s="47" t="n">
        <f aca="false">MAX(0,D36-D37-D38)*Inputs!$B$33</f>
        <v>0</v>
      </c>
      <c r="E41" s="47" t="n">
        <f aca="false">MAX(0,E36-E37-E38)*Inputs!$B$33</f>
        <v>0</v>
      </c>
      <c r="F41" s="47" t="n">
        <f aca="false">MAX(0,F36-F37-F38)*Inputs!$B$33</f>
        <v>0</v>
      </c>
    </row>
    <row r="42" customFormat="false" ht="15" hidden="false" customHeight="false" outlineLevel="0" collapsed="false">
      <c r="A42" s="10" t="s">
        <v>535</v>
      </c>
      <c r="B42" s="47" t="n">
        <f aca="false">MIN(Historicals!$B$48,B41,MAX(0,1E+099-B37)*Inputs!$B$33)</f>
        <v>0</v>
      </c>
      <c r="C42" s="47" t="n">
        <f aca="false">MIN(B43,C41,MAX(0,Inputs!$B$36-C37)*Inputs!$B$33)</f>
        <v>0</v>
      </c>
      <c r="D42" s="47" t="n">
        <f aca="false">MIN(C43,D41,MAX(0,Inputs!$B$36-D37)*Inputs!$B$33)</f>
        <v>0</v>
      </c>
      <c r="E42" s="47" t="n">
        <f aca="false">MIN(D43,E41,MAX(0,Inputs!$B$36-E37)*Inputs!$B$33)</f>
        <v>0</v>
      </c>
      <c r="F42" s="47" t="n">
        <f aca="false">MIN(E43,F41,MAX(0,Inputs!$B$36-F37)*Inputs!$B$33)</f>
        <v>0</v>
      </c>
    </row>
    <row r="43" customFormat="false" ht="15" hidden="false" customHeight="false" outlineLevel="0" collapsed="false">
      <c r="A43" s="10" t="s">
        <v>536</v>
      </c>
      <c r="B43" s="47" t="n">
        <f aca="false">Historicals!$B$48-B42</f>
        <v>3.586</v>
      </c>
      <c r="C43" s="47" t="n">
        <f aca="false">B43-C42</f>
        <v>3.586</v>
      </c>
      <c r="D43" s="47" t="n">
        <f aca="false">C43-D42</f>
        <v>3.586</v>
      </c>
      <c r="E43" s="47" t="n">
        <f aca="false">D43-E42</f>
        <v>3.586</v>
      </c>
      <c r="F43" s="47" t="n">
        <f aca="false">E43-F42</f>
        <v>3.586</v>
      </c>
    </row>
    <row r="44" customFormat="false" ht="15" hidden="false" customHeight="false" outlineLevel="0" collapsed="false">
      <c r="A44" s="13" t="s">
        <v>537</v>
      </c>
      <c r="B44" s="18" t="n">
        <f aca="false">MAX(0,(Inputs!$B$87+Inputs!$B$88+Inputs!$B$89)*Inputs!$B$90)*Inputs!$B$40</f>
        <v>0</v>
      </c>
      <c r="C44" s="18" t="n">
        <f aca="false">C41-C42+C35</f>
        <v>0</v>
      </c>
      <c r="D44" s="18" t="n">
        <f aca="false">D41-D42+D35</f>
        <v>0</v>
      </c>
      <c r="E44" s="18" t="n">
        <f aca="false">E41-E42+E35</f>
        <v>0</v>
      </c>
      <c r="F44" s="18" t="n">
        <f aca="false">F41-F42+F35</f>
        <v>0</v>
      </c>
    </row>
    <row r="45" customFormat="false" ht="15" hidden="false" customHeight="false" outlineLevel="0" collapsed="false">
      <c r="A45" s="10" t="s">
        <v>538</v>
      </c>
      <c r="B45" s="47" t="n">
        <f aca="false">0+Inputs!$B$37*(B25-B19)</f>
        <v>52.8437</v>
      </c>
      <c r="C45" s="47" t="n">
        <f aca="false">B45+Inputs!$B$37*(C25-C19)</f>
        <v>108.811094941275</v>
      </c>
      <c r="D45" s="47" t="n">
        <f aca="false">C45+Inputs!$B$37*(D25-D19)</f>
        <v>156.226957749217</v>
      </c>
      <c r="E45" s="47" t="n">
        <f aca="false">D45+Inputs!$B$37*(E25-E19)</f>
        <v>184.903530465091</v>
      </c>
      <c r="F45" s="47" t="n">
        <f aca="false">E45+Inputs!$B$37*(F25-F19)</f>
        <v>188.190673879035</v>
      </c>
    </row>
    <row r="46" customFormat="false" ht="15" hidden="false" customHeight="false" outlineLevel="0" collapsed="false">
      <c r="A46" s="10" t="s">
        <v>539</v>
      </c>
      <c r="B46" s="47" t="n">
        <f aca="false">B45*Inputs!$B$79</f>
        <v>12.76703792</v>
      </c>
      <c r="C46" s="47" t="n">
        <f aca="false">C45*Inputs!$B$79</f>
        <v>26.288760537812</v>
      </c>
      <c r="D46" s="47" t="n">
        <f aca="false">D45*Inputs!$B$79</f>
        <v>37.7444329922107</v>
      </c>
      <c r="E46" s="47" t="n">
        <f aca="false">E45*Inputs!$B$79</f>
        <v>44.6726929603661</v>
      </c>
      <c r="F46" s="47" t="n">
        <f aca="false">F45*Inputs!$B$79</f>
        <v>45.4668668091748</v>
      </c>
    </row>
    <row r="47" customFormat="false" ht="15" hidden="false" customHeight="false" outlineLevel="0" collapsed="false">
      <c r="A47" s="10" t="s">
        <v>540</v>
      </c>
      <c r="C47" s="47" t="n">
        <f aca="false">C20-C44</f>
        <v>10.4048413446785</v>
      </c>
      <c r="D47" s="47" t="n">
        <f aca="false">D20-D44</f>
        <v>5.95651236848801</v>
      </c>
      <c r="E47" s="47" t="n">
        <f aca="false">E20-E44</f>
        <v>0.838288851249914</v>
      </c>
      <c r="F47" s="47" t="n">
        <f aca="false">F20-F44</f>
        <v>-2.6682278817239</v>
      </c>
    </row>
    <row r="48" customFormat="false" ht="15" hidden="false" customHeight="false" outlineLevel="0" collapsed="false">
      <c r="A48" s="10" t="s">
        <v>541</v>
      </c>
      <c r="C48" s="47" t="n">
        <f aca="false">Inputs!$B$64*(C8-B8)</f>
        <v>0</v>
      </c>
      <c r="D48" s="47" t="n">
        <f aca="false">Inputs!$B$64*(D8-C8)</f>
        <v>0</v>
      </c>
      <c r="E48" s="47" t="n">
        <f aca="false">Inputs!$B$64*(E8-D8)</f>
        <v>0</v>
      </c>
      <c r="F48" s="47" t="n">
        <f aca="false">Inputs!$B$64*(F8-E8)</f>
        <v>0</v>
      </c>
    </row>
    <row r="49" customFormat="false" ht="15" hidden="false" customHeight="false" outlineLevel="0" collapsed="false">
      <c r="A49" s="13" t="s">
        <v>542</v>
      </c>
      <c r="B49" s="18" t="n">
        <f aca="false">B50-B14</f>
        <v>-34.326</v>
      </c>
      <c r="C49" s="18" t="n">
        <f aca="false">C20+C19-C44-C25-C48</f>
        <v>-69.54858</v>
      </c>
      <c r="D49" s="18" t="n">
        <f aca="false">D20+D19-D44-D25-D48</f>
        <v>-61.7804345</v>
      </c>
      <c r="E49" s="18" t="n">
        <f aca="false">E20+E19-E44-E25-E48</f>
        <v>-40.1282436</v>
      </c>
      <c r="F49" s="18" t="n">
        <f aca="false">F20+F19-F44-F25-F48</f>
        <v>-7.3641470445</v>
      </c>
    </row>
    <row r="50" customFormat="false" ht="15" hidden="false" customHeight="false" outlineLevel="0" collapsed="false">
      <c r="A50" s="10" t="s">
        <v>543</v>
      </c>
      <c r="B50" s="47" t="n">
        <f aca="false">(Inputs!$B$87+Inputs!$B$88+Inputs!$B$89)*Inputs!$B$90+(Inputs!$B$50+Inputs!$B$51+Inputs!$B$52)/4+B14-B44-Inputs!$B$91</f>
        <v>-32.702</v>
      </c>
      <c r="C50" s="47" t="n">
        <f aca="false">C49+C14+C15</f>
        <v>-62.497148</v>
      </c>
      <c r="D50" s="47" t="n">
        <f aca="false">D49+D14+D15</f>
        <v>-52.9403329</v>
      </c>
      <c r="E50" s="47" t="n">
        <f aca="false">E49+E14+E15</f>
        <v>-29.7171504</v>
      </c>
      <c r="F50" s="47" t="n">
        <f aca="false">F49+F14+F15</f>
        <v>4.4381291115</v>
      </c>
    </row>
    <row r="51" customFormat="false" ht="15" hidden="false" customHeight="false" outlineLevel="0" collapsed="false">
      <c r="A51" s="10" t="s">
        <v>544</v>
      </c>
      <c r="B51" s="47" t="n">
        <f aca="false">Historicals!$B$36+Historicals!$B$37</f>
        <v>89.855</v>
      </c>
      <c r="C51" s="47" t="n">
        <f aca="false">B62</f>
        <v>57.3061457286432</v>
      </c>
      <c r="D51" s="47" t="n">
        <f aca="false">C62</f>
        <v>10</v>
      </c>
      <c r="E51" s="47" t="n">
        <f aca="false">D62</f>
        <v>10</v>
      </c>
      <c r="F51" s="47" t="n">
        <f aca="false">E62</f>
        <v>10</v>
      </c>
    </row>
    <row r="52" customFormat="false" ht="15" hidden="false" customHeight="false" outlineLevel="0" collapsed="false">
      <c r="A52" s="10" t="s">
        <v>545</v>
      </c>
      <c r="B52" s="47" t="n">
        <f aca="false">Historicals!$B$38</f>
        <v>38.844</v>
      </c>
      <c r="C52" s="47" t="n">
        <f aca="false">B63</f>
        <v>38.844</v>
      </c>
      <c r="D52" s="47" t="n">
        <f aca="false">C63</f>
        <v>55.6934993299833</v>
      </c>
      <c r="E52" s="47" t="n">
        <f aca="false">D63</f>
        <v>113.903856475607</v>
      </c>
      <c r="F52" s="47" t="n">
        <f aca="false">E63</f>
        <v>151.561545838666</v>
      </c>
    </row>
    <row r="53" customFormat="false" ht="15" hidden="false" customHeight="false" outlineLevel="0" collapsed="false">
      <c r="A53" s="10" t="s">
        <v>546</v>
      </c>
      <c r="B53" s="26" t="n">
        <v>0</v>
      </c>
      <c r="C53" s="47" t="n">
        <f aca="false">Inputs!$B$62</f>
        <v>0</v>
      </c>
      <c r="D53" s="26" t="n">
        <v>0</v>
      </c>
      <c r="E53" s="26" t="n">
        <v>0</v>
      </c>
      <c r="F53" s="26" t="n">
        <v>0</v>
      </c>
    </row>
    <row r="54" customFormat="false" ht="15" hidden="false" customHeight="false" outlineLevel="0" collapsed="false">
      <c r="A54" s="10" t="s">
        <v>547</v>
      </c>
      <c r="B54" s="47" t="n">
        <f aca="false">(B51+B50-B53+Inputs!$B$60/4*B51/2-Inputs!$B$61/4*(B52-B53/2))/(1-Inputs!$B$60/4/2)</f>
        <v>57.3061457286432</v>
      </c>
      <c r="C54" s="47" t="n">
        <f aca="false">(C51+C50-C53+Inputs!$B$60*C51/2-Inputs!$B$61*(C52-C53/2))/(1-Inputs!$B$60/2)</f>
        <v>-6.50563199671831</v>
      </c>
      <c r="D54" s="47" t="n">
        <f aca="false">(D51+D50-D53+Inputs!$B$60*D51/2-Inputs!$B$61*(D52-D53/2))/(1-Inputs!$B$60/2)</f>
        <v>-47.0223906732643</v>
      </c>
      <c r="E54" s="47" t="n">
        <f aca="false">(E51+E50-E53+Inputs!$B$60*E51/2-Inputs!$B$61*(E52-E53/2))/(1-Inputs!$B$60/2)</f>
        <v>-26.8891650903433</v>
      </c>
      <c r="F54" s="47" t="n">
        <f aca="false">(F51+F50-F53+Inputs!$B$60*F51/2-Inputs!$B$61*(F52-F53/2))/(1-Inputs!$B$60/2)</f>
        <v>5.6575881236531</v>
      </c>
    </row>
    <row r="55" customFormat="false" ht="15" hidden="false" customHeight="false" outlineLevel="0" collapsed="false">
      <c r="A55" s="10" t="s">
        <v>548</v>
      </c>
      <c r="B55" s="47" t="n">
        <f aca="false">IF(B54&gt;=Inputs!$B$66,0,(Inputs!$B$66-B51-B50+B53-Inputs!$B$60/4*(B51+Inputs!$B$66)/2+Inputs!$B$61/4*(B52-B53/2))/(1-Inputs!$B$61/4*Inputs!$B$69/(2*(1-Inputs!$B$70))))</f>
        <v>0</v>
      </c>
      <c r="C55" s="47" t="n">
        <f aca="false">IF(C54&gt;=Inputs!$B$66,0,(Inputs!$B$66-C51-C50+C53-Inputs!$B$60*(C51+Inputs!$B$66)/2+Inputs!$B$61*(C52-C53/2))/(1-Inputs!$B$61*Inputs!$B$69/(2*(1-Inputs!$B$70))))</f>
        <v>16.6810043366834</v>
      </c>
      <c r="D55" s="47" t="n">
        <f aca="false">IF(D54&gt;=Inputs!$B$66,0,(Inputs!$B$66-D51-D50+D53-Inputs!$B$60*(D51+Inputs!$B$66)/2+Inputs!$B$61*(D52-D53/2))/(1-Inputs!$B$61*Inputs!$B$69/(2*(1-Inputs!$B$70))))</f>
        <v>57.6282535741677</v>
      </c>
      <c r="E55" s="47" t="n">
        <f aca="false">IF(E54&gt;=Inputs!$B$66,0,(Inputs!$B$66-E51-E50+E53-Inputs!$B$60*(E51+Inputs!$B$66)/2+Inputs!$B$61*(E52-E53/2))/(1-Inputs!$B$61*Inputs!$B$69/(2*(1-Inputs!$B$70))))</f>
        <v>37.2811124694282</v>
      </c>
      <c r="F55" s="47" t="n">
        <f aca="false">IF(F54&gt;=Inputs!$B$66,0,(Inputs!$B$66-F51-F50+F53-Inputs!$B$60*(F51+Inputs!$B$66)/2+Inputs!$B$61*(F52-F53/2))/(1-Inputs!$B$61*Inputs!$B$69/(2*(1-Inputs!$B$70))))</f>
        <v>4.38855000253308</v>
      </c>
    </row>
    <row r="56" customFormat="false" ht="15" hidden="false" customHeight="false" outlineLevel="0" collapsed="false">
      <c r="A56" s="10" t="s">
        <v>549</v>
      </c>
      <c r="B56" s="47" t="n">
        <f aca="false">B55/(1-Inputs!$B$70)</f>
        <v>0</v>
      </c>
      <c r="C56" s="47" t="n">
        <f aca="false">C55/(1-Inputs!$B$70)</f>
        <v>16.8494993299833</v>
      </c>
      <c r="D56" s="47" t="n">
        <f aca="false">D55/(1-Inputs!$B$70)</f>
        <v>58.210357145624</v>
      </c>
      <c r="E56" s="47" t="n">
        <f aca="false">E55/(1-Inputs!$B$70)</f>
        <v>37.6576893630588</v>
      </c>
      <c r="F56" s="47" t="n">
        <f aca="false">F55/(1-Inputs!$B$70)</f>
        <v>4.43287879043746</v>
      </c>
    </row>
    <row r="57" customFormat="false" ht="15" hidden="false" customHeight="false" outlineLevel="0" collapsed="false">
      <c r="A57" s="10" t="s">
        <v>550</v>
      </c>
      <c r="B57" s="47" t="n">
        <f aca="false">B56*Inputs!$B$69</f>
        <v>0</v>
      </c>
      <c r="C57" s="47" t="n">
        <f aca="false">C56*Inputs!$B$69</f>
        <v>16.8494993299833</v>
      </c>
      <c r="D57" s="47" t="n">
        <f aca="false">D56*Inputs!$B$69</f>
        <v>58.210357145624</v>
      </c>
      <c r="E57" s="47" t="n">
        <f aca="false">E56*Inputs!$B$69</f>
        <v>37.6576893630588</v>
      </c>
      <c r="F57" s="47" t="n">
        <f aca="false">F56*Inputs!$B$69</f>
        <v>4.43287879043746</v>
      </c>
    </row>
    <row r="58" customFormat="false" ht="15" hidden="false" customHeight="false" outlineLevel="0" collapsed="false">
      <c r="A58" s="10" t="s">
        <v>551</v>
      </c>
      <c r="B58" s="47" t="n">
        <f aca="false">B56-B57</f>
        <v>0</v>
      </c>
      <c r="C58" s="47" t="n">
        <f aca="false">C56-C57</f>
        <v>0</v>
      </c>
      <c r="D58" s="47" t="n">
        <f aca="false">D56-D57</f>
        <v>0</v>
      </c>
      <c r="E58" s="47" t="n">
        <f aca="false">E56-E57</f>
        <v>0</v>
      </c>
      <c r="F58" s="47" t="n">
        <f aca="false">F56-F57</f>
        <v>0</v>
      </c>
    </row>
    <row r="59" customFormat="false" ht="15" hidden="false" customHeight="false" outlineLevel="0" collapsed="false">
      <c r="A59" s="10" t="s">
        <v>552</v>
      </c>
      <c r="B59" s="47" t="n">
        <f aca="false">B56-B55</f>
        <v>0</v>
      </c>
      <c r="C59" s="47" t="n">
        <f aca="false">C56-C55</f>
        <v>0.168494993299834</v>
      </c>
      <c r="D59" s="47" t="n">
        <f aca="false">D56-D55</f>
        <v>0.582103571456237</v>
      </c>
      <c r="E59" s="47" t="n">
        <f aca="false">E56-E55</f>
        <v>0.376576893630592</v>
      </c>
      <c r="F59" s="47" t="n">
        <f aca="false">F56-F55</f>
        <v>0.0443287879043748</v>
      </c>
    </row>
    <row r="60" customFormat="false" ht="15" hidden="false" customHeight="false" outlineLevel="0" collapsed="false">
      <c r="A60" s="10" t="s">
        <v>553</v>
      </c>
      <c r="B60" s="47" t="n">
        <f aca="false">Inputs!$B$60/4*(B51+B62)/2</f>
        <v>0.735805728643216</v>
      </c>
      <c r="C60" s="47" t="n">
        <f aca="false">Inputs!$B$60*(C51+C62)/2</f>
        <v>1.34612291457286</v>
      </c>
      <c r="D60" s="47" t="n">
        <f aca="false">Inputs!$B$60*(D51+D62)/2</f>
        <v>0.4</v>
      </c>
      <c r="E60" s="47" t="n">
        <f aca="false">Inputs!$B$60*(E51+E62)/2</f>
        <v>0.4</v>
      </c>
      <c r="F60" s="47" t="n">
        <f aca="false">Inputs!$B$60*(F51+F62)/2</f>
        <v>0.4</v>
      </c>
    </row>
    <row r="61" customFormat="false" ht="15" hidden="false" customHeight="false" outlineLevel="0" collapsed="false">
      <c r="A61" s="10" t="s">
        <v>554</v>
      </c>
      <c r="B61" s="47" t="n">
        <f aca="false">Inputs!$B$61/4*(B52-B53/2+B57/2)</f>
        <v>0.58266</v>
      </c>
      <c r="C61" s="47" t="n">
        <f aca="false">Inputs!$B$61*(C52-C53/2+C57/2)</f>
        <v>2.8361249798995</v>
      </c>
      <c r="D61" s="47" t="n">
        <f aca="false">Inputs!$B$61*(D52-D53/2+D57/2)</f>
        <v>5.08792067416772</v>
      </c>
      <c r="E61" s="47" t="n">
        <f aca="false">Inputs!$B$61*(E52-E53/2+E57/2)</f>
        <v>7.9639620694282</v>
      </c>
      <c r="F61" s="47" t="n">
        <f aca="false">Inputs!$B$61*(F52-F53/2+F57/2)</f>
        <v>9.22667911403308</v>
      </c>
    </row>
    <row r="62" customFormat="false" ht="15" hidden="false" customHeight="false" outlineLevel="0" collapsed="false">
      <c r="A62" s="13" t="s">
        <v>555</v>
      </c>
      <c r="B62" s="18" t="n">
        <f aca="false">IF(B55&gt;0,Inputs!$B$66,B54)</f>
        <v>57.3061457286432</v>
      </c>
      <c r="C62" s="18" t="n">
        <f aca="false">IF(C55&gt;0,Inputs!$B$66,C54)</f>
        <v>10</v>
      </c>
      <c r="D62" s="18" t="n">
        <f aca="false">IF(D55&gt;0,Inputs!$B$66,D54)</f>
        <v>10</v>
      </c>
      <c r="E62" s="18" t="n">
        <f aca="false">IF(E55&gt;0,Inputs!$B$66,E54)</f>
        <v>10</v>
      </c>
      <c r="F62" s="18" t="n">
        <f aca="false">IF(F55&gt;0,Inputs!$B$66,F54)</f>
        <v>10</v>
      </c>
    </row>
    <row r="63" customFormat="false" ht="15" hidden="false" customHeight="false" outlineLevel="0" collapsed="false">
      <c r="A63" s="10" t="s">
        <v>556</v>
      </c>
      <c r="B63" s="47" t="n">
        <f aca="false">B52-B53+B57</f>
        <v>38.844</v>
      </c>
      <c r="C63" s="47" t="n">
        <f aca="false">C52-C53+C57</f>
        <v>55.6934993299833</v>
      </c>
      <c r="D63" s="47" t="n">
        <f aca="false">D52-D53+D57</f>
        <v>113.903856475607</v>
      </c>
      <c r="E63" s="47" t="n">
        <f aca="false">E52-E53+E57</f>
        <v>151.561545838666</v>
      </c>
      <c r="F63" s="47" t="n">
        <f aca="false">F52-F53+F57</f>
        <v>155.994424629103</v>
      </c>
    </row>
    <row r="64" customFormat="false" ht="15" hidden="false" customHeight="false" outlineLevel="0" collapsed="false">
      <c r="A64" s="13" t="s">
        <v>557</v>
      </c>
      <c r="B64" s="18" t="n">
        <f aca="false">B62-B63</f>
        <v>18.4621457286432</v>
      </c>
      <c r="C64" s="18" t="n">
        <f aca="false">C62-C63</f>
        <v>-45.6934993299833</v>
      </c>
      <c r="D64" s="18" t="n">
        <f aca="false">D62-D63</f>
        <v>-103.903856475607</v>
      </c>
      <c r="E64" s="18" t="n">
        <f aca="false">E62-E63</f>
        <v>-141.561545838666</v>
      </c>
      <c r="F64" s="18" t="n">
        <f aca="false">F62-F63</f>
        <v>-145.994424629103</v>
      </c>
    </row>
    <row r="65" customFormat="false" ht="15" hidden="false" customHeight="false" outlineLevel="0" collapsed="false">
      <c r="A65" s="10" t="s">
        <v>558</v>
      </c>
      <c r="B65" s="33" t="n">
        <f aca="false">ROUND(B51+B50-B53+B60-B61+B55-B62,6)</f>
        <v>0</v>
      </c>
      <c r="C65" s="33" t="n">
        <f aca="false">ROUND(C51+C50-C53+C60-C61+C55-C62,6)</f>
        <v>0</v>
      </c>
      <c r="D65" s="33" t="n">
        <f aca="false">ROUND(D51+D50-D53+D60-D61+D55-D62,6)</f>
        <v>0</v>
      </c>
      <c r="E65" s="33" t="n">
        <f aca="false">ROUND(E51+E50-E53+E60-E61+E55-E62,6)</f>
        <v>0</v>
      </c>
      <c r="F65" s="33" t="n">
        <f aca="false">ROUND(F51+F50-F53+F60-F61+F55-F62,6)</f>
        <v>0</v>
      </c>
    </row>
    <row r="66" customFormat="false" ht="15" hidden="false" customHeight="false" outlineLevel="0" collapsed="false">
      <c r="A66" s="10" t="s">
        <v>559</v>
      </c>
      <c r="B66" s="47" t="n">
        <f aca="false">B56</f>
        <v>0</v>
      </c>
      <c r="C66" s="47" t="n">
        <f aca="false">B66+C56</f>
        <v>16.8494993299833</v>
      </c>
      <c r="D66" s="47" t="n">
        <f aca="false">C66+D56</f>
        <v>75.0598564756072</v>
      </c>
      <c r="E66" s="47" t="n">
        <f aca="false">D66+E56</f>
        <v>112.717545838666</v>
      </c>
      <c r="F66" s="47" t="n">
        <f aca="false">E66+F56</f>
        <v>117.150424629103</v>
      </c>
    </row>
    <row r="67" customFormat="false" ht="15" hidden="false" customHeight="false" outlineLevel="0" collapsed="false">
      <c r="A67" s="10" t="s">
        <v>560</v>
      </c>
      <c r="B67" s="49" t="str">
        <f aca="false">IF(B66&gt;Inputs!$B$72,"UNFUNDED: above limit",IF(B56&gt;0,"Raising","OK"))</f>
        <v>OK</v>
      </c>
      <c r="C67" s="49" t="str">
        <f aca="false">IF(C66&gt;Inputs!$B$72,"UNFUNDED: above limit",IF(C56&gt;0,"Raising","OK"))</f>
        <v>Raising</v>
      </c>
      <c r="D67" s="49" t="str">
        <f aca="false">IF(D66&gt;Inputs!$B$72,"UNFUNDED: above limit",IF(D56&gt;0,"Raising","OK"))</f>
        <v>Raising</v>
      </c>
      <c r="E67" s="49" t="str">
        <f aca="false">IF(E66&gt;Inputs!$B$72,"UNFUNDED: above limit",IF(E56&gt;0,"Raising","OK"))</f>
        <v>Raising</v>
      </c>
      <c r="F67" s="49" t="str">
        <f aca="false">IF(F66&gt;Inputs!$B$72,"UNFUNDED: above limit",IF(F56&gt;0,"Raising","OK"))</f>
        <v>Raising</v>
      </c>
    </row>
    <row r="68" customFormat="false" ht="15" hidden="false" customHeight="false" outlineLevel="0" collapsed="false">
      <c r="A68" s="10" t="s">
        <v>561</v>
      </c>
      <c r="B68" s="47" t="n">
        <f aca="false">$F$20</f>
        <v>-2.6682278817239</v>
      </c>
    </row>
    <row r="69" customFormat="false" ht="15" hidden="false" customHeight="false" outlineLevel="0" collapsed="false">
      <c r="A69" s="10" t="s">
        <v>562</v>
      </c>
      <c r="B69" s="19" t="n">
        <f aca="false">IF(Inputs!$B$8=1,Inputs!$B$79,IFERROR($F$44/$F$20,0))</f>
        <v>0.2416</v>
      </c>
    </row>
    <row r="70" customFormat="false" ht="15" hidden="false" customHeight="false" outlineLevel="0" collapsed="false">
      <c r="A70" s="10" t="s">
        <v>563</v>
      </c>
      <c r="B70" s="47" t="n">
        <f aca="false">$B$68*(1-$B$69)</f>
        <v>-2.02358402549941</v>
      </c>
    </row>
    <row r="71" customFormat="false" ht="15" hidden="false" customHeight="false" outlineLevel="0" collapsed="false">
      <c r="A71" s="10" t="s">
        <v>564</v>
      </c>
      <c r="B71" s="50" t="n">
        <f aca="false">Inputs!$B$117</f>
        <v>25</v>
      </c>
    </row>
    <row r="72" customFormat="false" ht="15" hidden="false" customHeight="false" outlineLevel="0" collapsed="false">
      <c r="A72" s="10" t="s">
        <v>565</v>
      </c>
      <c r="B72" s="47" t="n">
        <f aca="false">$B$70*$B$71*$F$527</f>
        <v>-33.3249369095371</v>
      </c>
    </row>
    <row r="73" customFormat="false" ht="15" hidden="false" customHeight="false" outlineLevel="0" collapsed="false">
      <c r="A73" s="10" t="s">
        <v>566</v>
      </c>
      <c r="B73" s="47" t="n">
        <f aca="false">SUMPRODUCT($C$49:$F$49,$C$527:$F$527)</f>
        <v>-146.991182577579</v>
      </c>
    </row>
    <row r="74" customFormat="false" ht="15" hidden="false" customHeight="false" outlineLevel="0" collapsed="false">
      <c r="A74" s="10" t="s">
        <v>567</v>
      </c>
      <c r="B74" s="18" t="n">
        <f aca="false">$B$72+$B$73</f>
        <v>-180.316119487116</v>
      </c>
    </row>
    <row r="75" customFormat="false" ht="15" hidden="false" customHeight="false" outlineLevel="0" collapsed="false">
      <c r="A75" s="10" t="s">
        <v>568</v>
      </c>
      <c r="B75" s="47" t="n">
        <f aca="false">$B$70+$F$19-$F$25-$F$48</f>
        <v>-6.7195031882755</v>
      </c>
    </row>
    <row r="76" customFormat="false" ht="15" hidden="false" customHeight="false" outlineLevel="0" collapsed="false">
      <c r="A76" s="10" t="s">
        <v>569</v>
      </c>
      <c r="B76" s="50" t="n">
        <f aca="false">Inputs!$B$118</f>
        <v>20</v>
      </c>
    </row>
    <row r="77" customFormat="false" ht="15" hidden="false" customHeight="false" outlineLevel="0" collapsed="false">
      <c r="A77" s="10" t="s">
        <v>570</v>
      </c>
      <c r="B77" s="47" t="n">
        <f aca="false">$B$75*$B$76*$F$527</f>
        <v>-88.5268976196631</v>
      </c>
    </row>
    <row r="78" customFormat="false" ht="15" hidden="false" customHeight="false" outlineLevel="0" collapsed="false">
      <c r="A78" s="10" t="s">
        <v>571</v>
      </c>
      <c r="B78" s="18" t="n">
        <f aca="false">$B$73+$B$77</f>
        <v>-235.518080197242</v>
      </c>
    </row>
    <row r="79" customFormat="false" ht="15" hidden="false" customHeight="false" outlineLevel="0" collapsed="false">
      <c r="A79" s="13" t="s">
        <v>572</v>
      </c>
      <c r="B79" s="18" t="n">
        <f aca="false">$B$74*Inputs!$B$7+$B$78*(1-Inputs!$B$7)</f>
        <v>-207.917099842179</v>
      </c>
    </row>
    <row r="80" customFormat="false" ht="15" hidden="false" customHeight="false" outlineLevel="0" collapsed="false">
      <c r="A80" s="10" t="s">
        <v>573</v>
      </c>
      <c r="B80" s="47" t="n">
        <f aca="false">MAX(0,$F$30)</f>
        <v>0</v>
      </c>
      <c r="H80" s="51" t="n">
        <v>1</v>
      </c>
      <c r="I80" s="51" t="n">
        <v>2</v>
      </c>
      <c r="J80" s="51" t="n">
        <v>3</v>
      </c>
      <c r="K80" s="51" t="n">
        <v>4</v>
      </c>
      <c r="L80" s="51" t="n">
        <v>5</v>
      </c>
      <c r="M80" s="51" t="n">
        <v>6</v>
      </c>
      <c r="N80" s="51" t="n">
        <v>7</v>
      </c>
      <c r="O80" s="51" t="n">
        <v>8</v>
      </c>
      <c r="P80" s="51" t="n">
        <v>9</v>
      </c>
      <c r="Q80" s="51" t="n">
        <v>10</v>
      </c>
      <c r="R80" s="51" t="n">
        <v>11</v>
      </c>
      <c r="S80" s="51" t="n">
        <v>12</v>
      </c>
      <c r="T80" s="51" t="n">
        <v>13</v>
      </c>
      <c r="U80" s="51" t="n">
        <v>14</v>
      </c>
      <c r="V80" s="51" t="n">
        <v>15</v>
      </c>
      <c r="W80" s="51" t="n">
        <v>16</v>
      </c>
      <c r="X80" s="51" t="n">
        <v>17</v>
      </c>
      <c r="Y80" s="51" t="n">
        <v>18</v>
      </c>
      <c r="Z80" s="51" t="n">
        <v>19</v>
      </c>
      <c r="AA80" s="51" t="n">
        <v>20</v>
      </c>
      <c r="AB80" s="51" t="n">
        <v>21</v>
      </c>
      <c r="AC80" s="51" t="n">
        <v>22</v>
      </c>
      <c r="AD80" s="51" t="n">
        <v>23</v>
      </c>
      <c r="AE80" s="51" t="n">
        <v>24</v>
      </c>
      <c r="AF80" s="51" t="n">
        <v>25</v>
      </c>
      <c r="AG80" s="51" t="n">
        <v>26</v>
      </c>
      <c r="AH80" s="51" t="n">
        <v>27</v>
      </c>
      <c r="AI80" s="51" t="n">
        <v>28</v>
      </c>
      <c r="AJ80" s="51" t="n">
        <v>29</v>
      </c>
      <c r="AK80" s="51" t="n">
        <v>30</v>
      </c>
    </row>
    <row r="81" customFormat="false" ht="15" hidden="false" customHeight="false" outlineLevel="0" collapsed="false">
      <c r="A81" s="10" t="s">
        <v>574</v>
      </c>
      <c r="H81" s="25" t="n">
        <f aca="false">1/(1+Inputs!$B$6)^1</f>
        <v>0.900900900900901</v>
      </c>
      <c r="I81" s="25" t="n">
        <f aca="false">1/(1+Inputs!$B$6)^2</f>
        <v>0.811622433244055</v>
      </c>
      <c r="J81" s="25" t="n">
        <f aca="false">1/(1+Inputs!$B$6)^3</f>
        <v>0.73119138130095</v>
      </c>
      <c r="K81" s="25" t="n">
        <f aca="false">1/(1+Inputs!$B$6)^4</f>
        <v>0.658730974145</v>
      </c>
      <c r="L81" s="25" t="n">
        <f aca="false">1/(1+Inputs!$B$6)^5</f>
        <v>0.593451328058559</v>
      </c>
      <c r="M81" s="25" t="n">
        <f aca="false">1/(1+Inputs!$B$6)^6</f>
        <v>0.534640836088791</v>
      </c>
      <c r="N81" s="25" t="n">
        <f aca="false">1/(1+Inputs!$B$6)^7</f>
        <v>0.481658410890803</v>
      </c>
      <c r="O81" s="25" t="n">
        <f aca="false">1/(1+Inputs!$B$6)^8</f>
        <v>0.433926496298021</v>
      </c>
      <c r="P81" s="25" t="n">
        <f aca="false">1/(1+Inputs!$B$6)^9</f>
        <v>0.390924771439658</v>
      </c>
      <c r="Q81" s="25" t="n">
        <f aca="false">1/(1+Inputs!$B$6)^10</f>
        <v>0.352184478774467</v>
      </c>
      <c r="R81" s="25" t="n">
        <f aca="false">1/(1+Inputs!$B$6)^11</f>
        <v>0.317283314211231</v>
      </c>
      <c r="S81" s="25" t="n">
        <f aca="false">1/(1+Inputs!$B$6)^12</f>
        <v>0.285840823613722</v>
      </c>
      <c r="T81" s="25" t="n">
        <f aca="false">1/(1+Inputs!$B$6)^13</f>
        <v>0.257514255507858</v>
      </c>
      <c r="U81" s="25" t="n">
        <f aca="false">1/(1+Inputs!$B$6)^14</f>
        <v>0.231994824781854</v>
      </c>
      <c r="V81" s="25" t="n">
        <f aca="false">1/(1+Inputs!$B$6)^15</f>
        <v>0.209004346650319</v>
      </c>
      <c r="W81" s="25" t="n">
        <f aca="false">1/(1+Inputs!$B$6)^16</f>
        <v>0.188292204189476</v>
      </c>
      <c r="X81" s="25" t="n">
        <f aca="false">1/(1+Inputs!$B$6)^17</f>
        <v>0.169632616386915</v>
      </c>
      <c r="Y81" s="25" t="n">
        <f aca="false">1/(1+Inputs!$B$6)^18</f>
        <v>0.152822176925149</v>
      </c>
      <c r="Z81" s="25" t="n">
        <f aca="false">1/(1+Inputs!$B$6)^19</f>
        <v>0.137677636869504</v>
      </c>
      <c r="AA81" s="25" t="n">
        <f aca="false">1/(1+Inputs!$B$6)^20</f>
        <v>0.124033907089643</v>
      </c>
      <c r="AB81" s="25" t="n">
        <f aca="false">1/(1+Inputs!$B$6)^21</f>
        <v>0.111742258639318</v>
      </c>
      <c r="AC81" s="25" t="n">
        <f aca="false">1/(1+Inputs!$B$6)^22</f>
        <v>0.100668701476863</v>
      </c>
      <c r="AD81" s="25" t="n">
        <f aca="false">1/(1+Inputs!$B$6)^23</f>
        <v>0.0906925238530297</v>
      </c>
      <c r="AE81" s="25" t="n">
        <f aca="false">1/(1+Inputs!$B$6)^24</f>
        <v>0.0817049764441709</v>
      </c>
      <c r="AF81" s="25" t="n">
        <f aca="false">1/(1+Inputs!$B$6)^25</f>
        <v>0.0736080868866405</v>
      </c>
      <c r="AG81" s="25" t="n">
        <f aca="false">1/(1+Inputs!$B$6)^26</f>
        <v>0.0663135917897662</v>
      </c>
      <c r="AH81" s="25" t="n">
        <f aca="false">1/(1+Inputs!$B$6)^27</f>
        <v>0.0597419745853749</v>
      </c>
      <c r="AI81" s="25" t="n">
        <f aca="false">1/(1+Inputs!$B$6)^28</f>
        <v>0.053821598725563</v>
      </c>
      <c r="AJ81" s="25" t="n">
        <f aca="false">1/(1+Inputs!$B$6)^29</f>
        <v>0.0484879267797865</v>
      </c>
      <c r="AK81" s="25" t="n">
        <f aca="false">1/(1+Inputs!$B$6)^30</f>
        <v>0.0436828169187266</v>
      </c>
    </row>
    <row r="82" customFormat="false" ht="15" hidden="false" customHeight="false" outlineLevel="0" collapsed="false">
      <c r="A82" s="10" t="s">
        <v>575</v>
      </c>
      <c r="G82" s="47" t="n">
        <f aca="false">$F$33</f>
        <v>55.3427</v>
      </c>
      <c r="H82" s="47" t="n">
        <f aca="false">G82</f>
        <v>55.3427</v>
      </c>
      <c r="I82" s="47" t="n">
        <f aca="false">H82-H83</f>
        <v>55.3427</v>
      </c>
      <c r="J82" s="47" t="n">
        <f aca="false">I82-I83</f>
        <v>55.3427</v>
      </c>
      <c r="K82" s="47" t="n">
        <f aca="false">J82-J83</f>
        <v>55.3427</v>
      </c>
      <c r="L82" s="47" t="n">
        <f aca="false">K82-K83</f>
        <v>55.3427</v>
      </c>
      <c r="M82" s="47" t="n">
        <f aca="false">L82-L83</f>
        <v>55.3427</v>
      </c>
      <c r="N82" s="47" t="n">
        <f aca="false">M82-M83</f>
        <v>55.3427</v>
      </c>
      <c r="O82" s="47" t="n">
        <f aca="false">N82-N83</f>
        <v>55.3427</v>
      </c>
      <c r="P82" s="47" t="n">
        <f aca="false">O82-O83</f>
        <v>55.3427</v>
      </c>
      <c r="Q82" s="47" t="n">
        <f aca="false">P82-P83</f>
        <v>55.3427</v>
      </c>
      <c r="R82" s="47" t="n">
        <f aca="false">Q82-Q83</f>
        <v>55.3427</v>
      </c>
      <c r="S82" s="47" t="n">
        <f aca="false">R82-R83</f>
        <v>55.3427</v>
      </c>
      <c r="T82" s="47" t="n">
        <f aca="false">S82-S83</f>
        <v>55.3427</v>
      </c>
      <c r="U82" s="47" t="n">
        <f aca="false">T82-T83</f>
        <v>55.3427</v>
      </c>
      <c r="V82" s="47" t="n">
        <f aca="false">U82-U83</f>
        <v>55.3427</v>
      </c>
      <c r="W82" s="47" t="n">
        <f aca="false">V82-V83</f>
        <v>55.3427</v>
      </c>
      <c r="X82" s="47" t="n">
        <f aca="false">W82-W83</f>
        <v>55.3427</v>
      </c>
      <c r="Y82" s="47" t="n">
        <f aca="false">X82-X83</f>
        <v>55.3427</v>
      </c>
      <c r="Z82" s="47" t="n">
        <f aca="false">Y82-Y83</f>
        <v>55.3427</v>
      </c>
      <c r="AA82" s="47" t="n">
        <f aca="false">Z82-Z83</f>
        <v>55.3427</v>
      </c>
      <c r="AB82" s="47" t="n">
        <f aca="false">AA82-AA83</f>
        <v>55.3427</v>
      </c>
      <c r="AC82" s="47" t="n">
        <f aca="false">AB82-AB83</f>
        <v>55.3427</v>
      </c>
      <c r="AD82" s="47" t="n">
        <f aca="false">AC82-AC83</f>
        <v>55.3427</v>
      </c>
      <c r="AE82" s="47" t="n">
        <f aca="false">AD82-AD83</f>
        <v>55.3427</v>
      </c>
      <c r="AF82" s="47" t="n">
        <f aca="false">AE82-AE83</f>
        <v>55.3427</v>
      </c>
      <c r="AG82" s="47" t="n">
        <f aca="false">AF82-AF83</f>
        <v>55.3427</v>
      </c>
      <c r="AH82" s="47" t="n">
        <f aca="false">AG82-AG83</f>
        <v>55.3427</v>
      </c>
      <c r="AI82" s="47" t="n">
        <f aca="false">AH82-AH83</f>
        <v>55.3427</v>
      </c>
      <c r="AJ82" s="47" t="n">
        <f aca="false">AI82-AI83</f>
        <v>55.3427</v>
      </c>
      <c r="AK82" s="47" t="n">
        <f aca="false">AJ82-AJ83</f>
        <v>55.3427</v>
      </c>
    </row>
    <row r="83" customFormat="false" ht="15" hidden="false" customHeight="false" outlineLevel="0" collapsed="false">
      <c r="A83" s="10" t="s">
        <v>576</v>
      </c>
      <c r="H83" s="47" t="n">
        <f aca="false">IF(1&lt;=Inputs!$B$44,MIN(H82,$B$80,Inputs!$B$36),0)</f>
        <v>0</v>
      </c>
      <c r="I83" s="47" t="n">
        <f aca="false">IF(2&lt;=Inputs!$B$44,MIN(I82,$B$80,Inputs!$B$36),0)</f>
        <v>0</v>
      </c>
      <c r="J83" s="47" t="n">
        <f aca="false">IF(3&lt;=Inputs!$B$44,MIN(J82,$B$80,Inputs!$B$36),0)</f>
        <v>0</v>
      </c>
      <c r="K83" s="47" t="n">
        <f aca="false">IF(4&lt;=Inputs!$B$44,MIN(K82,$B$80,Inputs!$B$36),0)</f>
        <v>0</v>
      </c>
      <c r="L83" s="47" t="n">
        <f aca="false">IF(5&lt;=Inputs!$B$44,MIN(L82,$B$80,Inputs!$B$36),0)</f>
        <v>0</v>
      </c>
      <c r="M83" s="47" t="n">
        <f aca="false">IF(6&lt;=Inputs!$B$44,MIN(M82,$B$80,Inputs!$B$36),0)</f>
        <v>0</v>
      </c>
      <c r="N83" s="47" t="n">
        <f aca="false">IF(7&lt;=Inputs!$B$44,MIN(N82,$B$80,Inputs!$B$36),0)</f>
        <v>0</v>
      </c>
      <c r="O83" s="47" t="n">
        <f aca="false">IF(8&lt;=Inputs!$B$44,MIN(O82,$B$80,Inputs!$B$36),0)</f>
        <v>0</v>
      </c>
      <c r="P83" s="47" t="n">
        <f aca="false">IF(9&lt;=Inputs!$B$44,MIN(P82,$B$80,Inputs!$B$36),0)</f>
        <v>0</v>
      </c>
      <c r="Q83" s="47" t="n">
        <f aca="false">IF(10&lt;=Inputs!$B$44,MIN(Q82,$B$80,Inputs!$B$36),0)</f>
        <v>0</v>
      </c>
      <c r="R83" s="47" t="n">
        <f aca="false">IF(11&lt;=Inputs!$B$44,MIN(R82,$B$80,Inputs!$B$36),0)</f>
        <v>0</v>
      </c>
      <c r="S83" s="47" t="n">
        <f aca="false">IF(12&lt;=Inputs!$B$44,MIN(S82,$B$80,Inputs!$B$36),0)</f>
        <v>0</v>
      </c>
      <c r="T83" s="47" t="n">
        <f aca="false">IF(13&lt;=Inputs!$B$44,MIN(T82,$B$80,Inputs!$B$36),0)</f>
        <v>0</v>
      </c>
      <c r="U83" s="47" t="n">
        <f aca="false">IF(14&lt;=Inputs!$B$44,MIN(U82,$B$80,Inputs!$B$36),0)</f>
        <v>0</v>
      </c>
      <c r="V83" s="47" t="n">
        <f aca="false">IF(15&lt;=Inputs!$B$44,MIN(V82,$B$80,Inputs!$B$36),0)</f>
        <v>0</v>
      </c>
      <c r="W83" s="47" t="n">
        <f aca="false">IF(16&lt;=Inputs!$B$44,MIN(W82,$B$80,Inputs!$B$36),0)</f>
        <v>0</v>
      </c>
      <c r="X83" s="47" t="n">
        <f aca="false">IF(17&lt;=Inputs!$B$44,MIN(X82,$B$80,Inputs!$B$36),0)</f>
        <v>0</v>
      </c>
      <c r="Y83" s="47" t="n">
        <f aca="false">IF(18&lt;=Inputs!$B$44,MIN(Y82,$B$80,Inputs!$B$36),0)</f>
        <v>0</v>
      </c>
      <c r="Z83" s="47" t="n">
        <f aca="false">IF(19&lt;=Inputs!$B$44,MIN(Z82,$B$80,Inputs!$B$36),0)</f>
        <v>0</v>
      </c>
      <c r="AA83" s="47" t="n">
        <f aca="false">IF(20&lt;=Inputs!$B$44,MIN(AA82,$B$80,Inputs!$B$36),0)</f>
        <v>0</v>
      </c>
      <c r="AB83" s="47" t="n">
        <f aca="false">IF(21&lt;=Inputs!$B$44,MIN(AB82,$B$80,Inputs!$B$36),0)</f>
        <v>0</v>
      </c>
      <c r="AC83" s="47" t="n">
        <f aca="false">IF(22&lt;=Inputs!$B$44,MIN(AC82,$B$80,Inputs!$B$36),0)</f>
        <v>0</v>
      </c>
      <c r="AD83" s="47" t="n">
        <f aca="false">IF(23&lt;=Inputs!$B$44,MIN(AD82,$B$80,Inputs!$B$36),0)</f>
        <v>0</v>
      </c>
      <c r="AE83" s="47" t="n">
        <f aca="false">IF(24&lt;=Inputs!$B$44,MIN(AE82,$B$80,Inputs!$B$36),0)</f>
        <v>0</v>
      </c>
      <c r="AF83" s="47" t="n">
        <f aca="false">IF(25&lt;=Inputs!$B$44,MIN(AF82,$B$80,Inputs!$B$36),0)</f>
        <v>0</v>
      </c>
      <c r="AG83" s="47" t="n">
        <f aca="false">IF(26&lt;=Inputs!$B$44,MIN(AG82,$B$80,Inputs!$B$36),0)</f>
        <v>0</v>
      </c>
      <c r="AH83" s="47" t="n">
        <f aca="false">IF(27&lt;=Inputs!$B$44,MIN(AH82,$B$80,Inputs!$B$36),0)</f>
        <v>0</v>
      </c>
      <c r="AI83" s="47" t="n">
        <f aca="false">IF(28&lt;=Inputs!$B$44,MIN(AI82,$B$80,Inputs!$B$36),0)</f>
        <v>0</v>
      </c>
      <c r="AJ83" s="47" t="n">
        <f aca="false">IF(29&lt;=Inputs!$B$44,MIN(AJ82,$B$80,Inputs!$B$36),0)</f>
        <v>0</v>
      </c>
      <c r="AK83" s="47" t="n">
        <f aca="false">IF(30&lt;=Inputs!$B$44,MIN(AK82,$B$80,Inputs!$B$36),0)</f>
        <v>0</v>
      </c>
    </row>
    <row r="84" customFormat="false" ht="15" hidden="false" customHeight="false" outlineLevel="0" collapsed="false">
      <c r="A84" s="10" t="s">
        <v>577</v>
      </c>
      <c r="G84" s="47" t="n">
        <f aca="false">$F$34</f>
        <v>120.815559196342</v>
      </c>
      <c r="H84" s="47" t="n">
        <f aca="false">G84</f>
        <v>120.815559196342</v>
      </c>
      <c r="I84" s="47" t="n">
        <f aca="false">H84-H85</f>
        <v>120.815559196342</v>
      </c>
      <c r="J84" s="47" t="n">
        <f aca="false">I84-I85</f>
        <v>120.815559196342</v>
      </c>
      <c r="K84" s="47" t="n">
        <f aca="false">J84-J85</f>
        <v>120.815559196342</v>
      </c>
      <c r="L84" s="47" t="n">
        <f aca="false">K84-K85</f>
        <v>120.815559196342</v>
      </c>
      <c r="M84" s="47" t="n">
        <f aca="false">L84-L85</f>
        <v>120.815559196342</v>
      </c>
      <c r="N84" s="47" t="n">
        <f aca="false">M84-M85</f>
        <v>120.815559196342</v>
      </c>
      <c r="O84" s="47" t="n">
        <f aca="false">N84-N85</f>
        <v>120.815559196342</v>
      </c>
      <c r="P84" s="47" t="n">
        <f aca="false">O84-O85</f>
        <v>120.815559196342</v>
      </c>
      <c r="Q84" s="47" t="n">
        <f aca="false">P84-P85</f>
        <v>120.815559196342</v>
      </c>
      <c r="R84" s="47" t="n">
        <f aca="false">Q84-Q85</f>
        <v>120.815559196342</v>
      </c>
      <c r="S84" s="47" t="n">
        <f aca="false">R84-R85</f>
        <v>120.815559196342</v>
      </c>
      <c r="T84" s="47" t="n">
        <f aca="false">S84-S85</f>
        <v>120.815559196342</v>
      </c>
      <c r="U84" s="47" t="n">
        <f aca="false">T84-T85</f>
        <v>120.815559196342</v>
      </c>
      <c r="V84" s="47" t="n">
        <f aca="false">U84-U85</f>
        <v>120.815559196342</v>
      </c>
      <c r="W84" s="47" t="n">
        <f aca="false">V84-V85</f>
        <v>120.815559196342</v>
      </c>
      <c r="X84" s="47" t="n">
        <f aca="false">W84-W85</f>
        <v>120.815559196342</v>
      </c>
      <c r="Y84" s="47" t="n">
        <f aca="false">X84-X85</f>
        <v>120.815559196342</v>
      </c>
      <c r="Z84" s="47" t="n">
        <f aca="false">Y84-Y85</f>
        <v>120.815559196342</v>
      </c>
      <c r="AA84" s="47" t="n">
        <f aca="false">Z84-Z85</f>
        <v>120.815559196342</v>
      </c>
      <c r="AB84" s="47" t="n">
        <f aca="false">AA84-AA85</f>
        <v>120.815559196342</v>
      </c>
      <c r="AC84" s="47" t="n">
        <f aca="false">AB84-AB85</f>
        <v>120.815559196342</v>
      </c>
      <c r="AD84" s="47" t="n">
        <f aca="false">AC84-AC85</f>
        <v>120.815559196342</v>
      </c>
      <c r="AE84" s="47" t="n">
        <f aca="false">AD84-AD85</f>
        <v>120.815559196342</v>
      </c>
      <c r="AF84" s="47" t="n">
        <f aca="false">AE84-AE85</f>
        <v>120.815559196342</v>
      </c>
      <c r="AG84" s="47" t="n">
        <f aca="false">AF84-AF85</f>
        <v>120.815559196342</v>
      </c>
      <c r="AH84" s="47" t="n">
        <f aca="false">AG84-AG85</f>
        <v>120.815559196342</v>
      </c>
      <c r="AI84" s="47" t="n">
        <f aca="false">AH84-AH85</f>
        <v>120.815559196342</v>
      </c>
      <c r="AJ84" s="47" t="n">
        <f aca="false">AI84-AI85</f>
        <v>120.815559196342</v>
      </c>
      <c r="AK84" s="47" t="n">
        <f aca="false">AJ84-AJ85</f>
        <v>120.815559196342</v>
      </c>
    </row>
    <row r="85" customFormat="false" ht="15" hidden="false" customHeight="false" outlineLevel="0" collapsed="false">
      <c r="A85" s="10" t="s">
        <v>576</v>
      </c>
      <c r="H85" s="47" t="n">
        <f aca="false">IF(1&lt;=Inputs!$B$44,MIN(H84,$B$80-H83),0)</f>
        <v>0</v>
      </c>
      <c r="I85" s="47" t="n">
        <f aca="false">IF(2&lt;=Inputs!$B$44,MIN(I84,$B$80-I83),0)</f>
        <v>0</v>
      </c>
      <c r="J85" s="47" t="n">
        <f aca="false">IF(3&lt;=Inputs!$B$44,MIN(J84,$B$80-J83),0)</f>
        <v>0</v>
      </c>
      <c r="K85" s="47" t="n">
        <f aca="false">IF(4&lt;=Inputs!$B$44,MIN(K84,$B$80-K83),0)</f>
        <v>0</v>
      </c>
      <c r="L85" s="47" t="n">
        <f aca="false">IF(5&lt;=Inputs!$B$44,MIN(L84,$B$80-L83),0)</f>
        <v>0</v>
      </c>
      <c r="M85" s="47" t="n">
        <f aca="false">IF(6&lt;=Inputs!$B$44,MIN(M84,$B$80-M83),0)</f>
        <v>0</v>
      </c>
      <c r="N85" s="47" t="n">
        <f aca="false">IF(7&lt;=Inputs!$B$44,MIN(N84,$B$80-N83),0)</f>
        <v>0</v>
      </c>
      <c r="O85" s="47" t="n">
        <f aca="false">IF(8&lt;=Inputs!$B$44,MIN(O84,$B$80-O83),0)</f>
        <v>0</v>
      </c>
      <c r="P85" s="47" t="n">
        <f aca="false">IF(9&lt;=Inputs!$B$44,MIN(P84,$B$80-P83),0)</f>
        <v>0</v>
      </c>
      <c r="Q85" s="47" t="n">
        <f aca="false">IF(10&lt;=Inputs!$B$44,MIN(Q84,$B$80-Q83),0)</f>
        <v>0</v>
      </c>
      <c r="R85" s="47" t="n">
        <f aca="false">IF(11&lt;=Inputs!$B$44,MIN(R84,$B$80-R83),0)</f>
        <v>0</v>
      </c>
      <c r="S85" s="47" t="n">
        <f aca="false">IF(12&lt;=Inputs!$B$44,MIN(S84,$B$80-S83),0)</f>
        <v>0</v>
      </c>
      <c r="T85" s="47" t="n">
        <f aca="false">IF(13&lt;=Inputs!$B$44,MIN(T84,$B$80-T83),0)</f>
        <v>0</v>
      </c>
      <c r="U85" s="47" t="n">
        <f aca="false">IF(14&lt;=Inputs!$B$44,MIN(U84,$B$80-U83),0)</f>
        <v>0</v>
      </c>
      <c r="V85" s="47" t="n">
        <f aca="false">IF(15&lt;=Inputs!$B$44,MIN(V84,$B$80-V83),0)</f>
        <v>0</v>
      </c>
      <c r="W85" s="47" t="n">
        <f aca="false">IF(16&lt;=Inputs!$B$44,MIN(W84,$B$80-W83),0)</f>
        <v>0</v>
      </c>
      <c r="X85" s="47" t="n">
        <f aca="false">IF(17&lt;=Inputs!$B$44,MIN(X84,$B$80-X83),0)</f>
        <v>0</v>
      </c>
      <c r="Y85" s="47" t="n">
        <f aca="false">IF(18&lt;=Inputs!$B$44,MIN(Y84,$B$80-Y83),0)</f>
        <v>0</v>
      </c>
      <c r="Z85" s="47" t="n">
        <f aca="false">IF(19&lt;=Inputs!$B$44,MIN(Z84,$B$80-Z83),0)</f>
        <v>0</v>
      </c>
      <c r="AA85" s="47" t="n">
        <f aca="false">IF(20&lt;=Inputs!$B$44,MIN(AA84,$B$80-AA83),0)</f>
        <v>0</v>
      </c>
      <c r="AB85" s="47" t="n">
        <f aca="false">IF(21&lt;=Inputs!$B$44,MIN(AB84,$B$80-AB83),0)</f>
        <v>0</v>
      </c>
      <c r="AC85" s="47" t="n">
        <f aca="false">IF(22&lt;=Inputs!$B$44,MIN(AC84,$B$80-AC83),0)</f>
        <v>0</v>
      </c>
      <c r="AD85" s="47" t="n">
        <f aca="false">IF(23&lt;=Inputs!$B$44,MIN(AD84,$B$80-AD83),0)</f>
        <v>0</v>
      </c>
      <c r="AE85" s="47" t="n">
        <f aca="false">IF(24&lt;=Inputs!$B$44,MIN(AE84,$B$80-AE83),0)</f>
        <v>0</v>
      </c>
      <c r="AF85" s="47" t="n">
        <f aca="false">IF(25&lt;=Inputs!$B$44,MIN(AF84,$B$80-AF83),0)</f>
        <v>0</v>
      </c>
      <c r="AG85" s="47" t="n">
        <f aca="false">IF(26&lt;=Inputs!$B$44,MIN(AG84,$B$80-AG83),0)</f>
        <v>0</v>
      </c>
      <c r="AH85" s="47" t="n">
        <f aca="false">IF(27&lt;=Inputs!$B$44,MIN(AH84,$B$80-AH83),0)</f>
        <v>0</v>
      </c>
      <c r="AI85" s="47" t="n">
        <f aca="false">IF(28&lt;=Inputs!$B$44,MIN(AI84,$B$80-AI83),0)</f>
        <v>0</v>
      </c>
      <c r="AJ85" s="47" t="n">
        <f aca="false">IF(29&lt;=Inputs!$B$44,MIN(AJ84,$B$80-AJ83),0)</f>
        <v>0</v>
      </c>
      <c r="AK85" s="47" t="n">
        <f aca="false">IF(30&lt;=Inputs!$B$44,MIN(AK84,$B$80-AK83),0)</f>
        <v>0</v>
      </c>
    </row>
    <row r="86" customFormat="false" ht="15" hidden="false" customHeight="false" outlineLevel="0" collapsed="false">
      <c r="A86" s="10" t="s">
        <v>578</v>
      </c>
      <c r="H86" s="47" t="n">
        <f aca="false">($B$80-H83-H85)*Inputs!$B$34</f>
        <v>0</v>
      </c>
      <c r="I86" s="47" t="n">
        <f aca="false">($B$80-I83-I85)*Inputs!$B$34</f>
        <v>0</v>
      </c>
      <c r="J86" s="47" t="n">
        <f aca="false">($B$80-J83-J85)*Inputs!$B$34</f>
        <v>0</v>
      </c>
      <c r="K86" s="47" t="n">
        <f aca="false">($B$80-K83-K85)*Inputs!$B$34</f>
        <v>0</v>
      </c>
      <c r="L86" s="47" t="n">
        <f aca="false">($B$80-L83-L85)*Inputs!$B$34</f>
        <v>0</v>
      </c>
      <c r="M86" s="47" t="n">
        <f aca="false">($B$80-M83-M85)*Inputs!$B$34</f>
        <v>0</v>
      </c>
      <c r="N86" s="47" t="n">
        <f aca="false">($B$80-N83-N85)*Inputs!$B$34</f>
        <v>0</v>
      </c>
      <c r="O86" s="47" t="n">
        <f aca="false">($B$80-O83-O85)*Inputs!$B$34</f>
        <v>0</v>
      </c>
      <c r="P86" s="47" t="n">
        <f aca="false">($B$80-P83-P85)*Inputs!$B$34</f>
        <v>0</v>
      </c>
      <c r="Q86" s="47" t="n">
        <f aca="false">($B$80-Q83-Q85)*Inputs!$B$34</f>
        <v>0</v>
      </c>
      <c r="R86" s="47" t="n">
        <f aca="false">($B$80-R83-R85)*Inputs!$B$34</f>
        <v>0</v>
      </c>
      <c r="S86" s="47" t="n">
        <f aca="false">($B$80-S83-S85)*Inputs!$B$34</f>
        <v>0</v>
      </c>
      <c r="T86" s="47" t="n">
        <f aca="false">($B$80-T83-T85)*Inputs!$B$34</f>
        <v>0</v>
      </c>
      <c r="U86" s="47" t="n">
        <f aca="false">($B$80-U83-U85)*Inputs!$B$34</f>
        <v>0</v>
      </c>
      <c r="V86" s="47" t="n">
        <f aca="false">($B$80-V83-V85)*Inputs!$B$34</f>
        <v>0</v>
      </c>
      <c r="W86" s="47" t="n">
        <f aca="false">($B$80-W83-W85)*Inputs!$B$34</f>
        <v>0</v>
      </c>
      <c r="X86" s="47" t="n">
        <f aca="false">($B$80-X83-X85)*Inputs!$B$34</f>
        <v>0</v>
      </c>
      <c r="Y86" s="47" t="n">
        <f aca="false">($B$80-Y83-Y85)*Inputs!$B$34</f>
        <v>0</v>
      </c>
      <c r="Z86" s="47" t="n">
        <f aca="false">($B$80-Z83-Z85)*Inputs!$B$34</f>
        <v>0</v>
      </c>
      <c r="AA86" s="47" t="n">
        <f aca="false">($B$80-AA83-AA85)*Inputs!$B$34</f>
        <v>0</v>
      </c>
      <c r="AB86" s="47" t="n">
        <f aca="false">($B$80-AB83-AB85)*Inputs!$B$34</f>
        <v>0</v>
      </c>
      <c r="AC86" s="47" t="n">
        <f aca="false">($B$80-AC83-AC85)*Inputs!$B$34</f>
        <v>0</v>
      </c>
      <c r="AD86" s="47" t="n">
        <f aca="false">($B$80-AD83-AD85)*Inputs!$B$34</f>
        <v>0</v>
      </c>
      <c r="AE86" s="47" t="n">
        <f aca="false">($B$80-AE83-AE85)*Inputs!$B$34</f>
        <v>0</v>
      </c>
      <c r="AF86" s="47" t="n">
        <f aca="false">($B$80-AF83-AF85)*Inputs!$B$34</f>
        <v>0</v>
      </c>
      <c r="AG86" s="47" t="n">
        <f aca="false">($B$80-AG83-AG85)*Inputs!$B$34</f>
        <v>0</v>
      </c>
      <c r="AH86" s="47" t="n">
        <f aca="false">($B$80-AH83-AH85)*Inputs!$B$34</f>
        <v>0</v>
      </c>
      <c r="AI86" s="47" t="n">
        <f aca="false">($B$80-AI83-AI85)*Inputs!$B$34</f>
        <v>0</v>
      </c>
      <c r="AJ86" s="47" t="n">
        <f aca="false">($B$80-AJ83-AJ85)*Inputs!$B$34</f>
        <v>0</v>
      </c>
      <c r="AK86" s="47" t="n">
        <f aca="false">($B$80-AK83-AK85)*Inputs!$B$34</f>
        <v>0</v>
      </c>
    </row>
    <row r="87" customFormat="false" ht="15" hidden="false" customHeight="false" outlineLevel="0" collapsed="false">
      <c r="A87" s="10" t="s">
        <v>579</v>
      </c>
      <c r="H87" s="47" t="n">
        <f aca="false">$B$80-H86</f>
        <v>0</v>
      </c>
      <c r="I87" s="47" t="n">
        <f aca="false">$B$80-I86</f>
        <v>0</v>
      </c>
      <c r="J87" s="47" t="n">
        <f aca="false">$B$80-J86</f>
        <v>0</v>
      </c>
      <c r="K87" s="47" t="n">
        <f aca="false">$B$80-K86</f>
        <v>0</v>
      </c>
      <c r="L87" s="47" t="n">
        <f aca="false">$B$80-L86</f>
        <v>0</v>
      </c>
      <c r="M87" s="47" t="n">
        <f aca="false">$B$80-M86</f>
        <v>0</v>
      </c>
      <c r="N87" s="47" t="n">
        <f aca="false">$B$80-N86</f>
        <v>0</v>
      </c>
      <c r="O87" s="47" t="n">
        <f aca="false">$B$80-O86</f>
        <v>0</v>
      </c>
      <c r="P87" s="47" t="n">
        <f aca="false">$B$80-P86</f>
        <v>0</v>
      </c>
      <c r="Q87" s="47" t="n">
        <f aca="false">$B$80-Q86</f>
        <v>0</v>
      </c>
      <c r="R87" s="47" t="n">
        <f aca="false">$B$80-R86</f>
        <v>0</v>
      </c>
      <c r="S87" s="47" t="n">
        <f aca="false">$B$80-S86</f>
        <v>0</v>
      </c>
      <c r="T87" s="47" t="n">
        <f aca="false">$B$80-T86</f>
        <v>0</v>
      </c>
      <c r="U87" s="47" t="n">
        <f aca="false">$B$80-U86</f>
        <v>0</v>
      </c>
      <c r="V87" s="47" t="n">
        <f aca="false">$B$80-V86</f>
        <v>0</v>
      </c>
      <c r="W87" s="47" t="n">
        <f aca="false">$B$80-W86</f>
        <v>0</v>
      </c>
      <c r="X87" s="47" t="n">
        <f aca="false">$B$80-X86</f>
        <v>0</v>
      </c>
      <c r="Y87" s="47" t="n">
        <f aca="false">$B$80-Y86</f>
        <v>0</v>
      </c>
      <c r="Z87" s="47" t="n">
        <f aca="false">$B$80-Z86</f>
        <v>0</v>
      </c>
      <c r="AA87" s="47" t="n">
        <f aca="false">$B$80-AA86</f>
        <v>0</v>
      </c>
      <c r="AB87" s="47" t="n">
        <f aca="false">$B$80-AB86</f>
        <v>0</v>
      </c>
      <c r="AC87" s="47" t="n">
        <f aca="false">$B$80-AC86</f>
        <v>0</v>
      </c>
      <c r="AD87" s="47" t="n">
        <f aca="false">$B$80-AD86</f>
        <v>0</v>
      </c>
      <c r="AE87" s="47" t="n">
        <f aca="false">$B$80-AE86</f>
        <v>0</v>
      </c>
      <c r="AF87" s="47" t="n">
        <f aca="false">$B$80-AF86</f>
        <v>0</v>
      </c>
      <c r="AG87" s="47" t="n">
        <f aca="false">$B$80-AG86</f>
        <v>0</v>
      </c>
      <c r="AH87" s="47" t="n">
        <f aca="false">$B$80-AH86</f>
        <v>0</v>
      </c>
      <c r="AI87" s="47" t="n">
        <f aca="false">$B$80-AI86</f>
        <v>0</v>
      </c>
      <c r="AJ87" s="47" t="n">
        <f aca="false">$B$80-AJ86</f>
        <v>0</v>
      </c>
      <c r="AK87" s="47" t="n">
        <f aca="false">$B$80-AK86</f>
        <v>0</v>
      </c>
    </row>
    <row r="88" customFormat="false" ht="15" hidden="false" customHeight="false" outlineLevel="0" collapsed="false">
      <c r="A88" s="10" t="s">
        <v>580</v>
      </c>
      <c r="G88" s="47" t="n">
        <f aca="false">$F$39</f>
        <v>59.8367</v>
      </c>
      <c r="H88" s="47" t="n">
        <f aca="false">G88</f>
        <v>59.8367</v>
      </c>
      <c r="I88" s="47" t="n">
        <f aca="false">H88-H89</f>
        <v>59.8367</v>
      </c>
      <c r="J88" s="47" t="n">
        <f aca="false">I88-I89</f>
        <v>59.8367</v>
      </c>
      <c r="K88" s="47" t="n">
        <f aca="false">J88-J89</f>
        <v>59.8367</v>
      </c>
      <c r="L88" s="47" t="n">
        <f aca="false">K88-K89</f>
        <v>59.8367</v>
      </c>
      <c r="M88" s="47" t="n">
        <f aca="false">L88-L89</f>
        <v>59.8367</v>
      </c>
      <c r="N88" s="47" t="n">
        <f aca="false">M88-M89</f>
        <v>59.8367</v>
      </c>
      <c r="O88" s="47" t="n">
        <f aca="false">N88-N89</f>
        <v>59.8367</v>
      </c>
      <c r="P88" s="47" t="n">
        <f aca="false">O88-O89</f>
        <v>59.8367</v>
      </c>
      <c r="Q88" s="47" t="n">
        <f aca="false">P88-P89</f>
        <v>59.8367</v>
      </c>
      <c r="R88" s="47" t="n">
        <f aca="false">Q88-Q89</f>
        <v>59.8367</v>
      </c>
      <c r="S88" s="47" t="n">
        <f aca="false">R88-R89</f>
        <v>59.8367</v>
      </c>
      <c r="T88" s="47" t="n">
        <f aca="false">S88-S89</f>
        <v>59.8367</v>
      </c>
      <c r="U88" s="47" t="n">
        <f aca="false">T88-T89</f>
        <v>59.8367</v>
      </c>
      <c r="V88" s="47" t="n">
        <f aca="false">U88-U89</f>
        <v>59.8367</v>
      </c>
      <c r="W88" s="47" t="n">
        <f aca="false">V88-V89</f>
        <v>59.8367</v>
      </c>
      <c r="X88" s="47" t="n">
        <f aca="false">W88-W89</f>
        <v>59.8367</v>
      </c>
      <c r="Y88" s="47" t="n">
        <f aca="false">X88-X89</f>
        <v>59.8367</v>
      </c>
      <c r="Z88" s="47" t="n">
        <f aca="false">Y88-Y89</f>
        <v>59.8367</v>
      </c>
      <c r="AA88" s="47" t="n">
        <f aca="false">Z88-Z89</f>
        <v>59.8367</v>
      </c>
      <c r="AB88" s="47" t="n">
        <f aca="false">AA88-AA89</f>
        <v>59.8367</v>
      </c>
      <c r="AC88" s="47" t="n">
        <f aca="false">AB88-AB89</f>
        <v>59.8367</v>
      </c>
      <c r="AD88" s="47" t="n">
        <f aca="false">AC88-AC89</f>
        <v>59.8367</v>
      </c>
      <c r="AE88" s="47" t="n">
        <f aca="false">AD88-AD89</f>
        <v>59.8367</v>
      </c>
      <c r="AF88" s="47" t="n">
        <f aca="false">AE88-AE89</f>
        <v>59.8367</v>
      </c>
      <c r="AG88" s="47" t="n">
        <f aca="false">AF88-AF89</f>
        <v>59.8367</v>
      </c>
      <c r="AH88" s="47" t="n">
        <f aca="false">AG88-AG89</f>
        <v>59.8367</v>
      </c>
      <c r="AI88" s="47" t="n">
        <f aca="false">AH88-AH89</f>
        <v>59.8367</v>
      </c>
      <c r="AJ88" s="47" t="n">
        <f aca="false">AI88-AI89</f>
        <v>59.8367</v>
      </c>
      <c r="AK88" s="47" t="n">
        <f aca="false">AJ88-AJ89</f>
        <v>59.8367</v>
      </c>
    </row>
    <row r="89" customFormat="false" ht="15" hidden="false" customHeight="false" outlineLevel="0" collapsed="false">
      <c r="A89" s="10" t="s">
        <v>581</v>
      </c>
      <c r="H89" s="47" t="n">
        <f aca="false">MIN(H88,Inputs!$B$35*H87,Inputs!$B$36)</f>
        <v>0</v>
      </c>
      <c r="I89" s="47" t="n">
        <f aca="false">MIN(I88,Inputs!$B$35*I87,Inputs!$B$36)</f>
        <v>0</v>
      </c>
      <c r="J89" s="47" t="n">
        <f aca="false">MIN(J88,Inputs!$B$35*J87,Inputs!$B$36)</f>
        <v>0</v>
      </c>
      <c r="K89" s="47" t="n">
        <f aca="false">MIN(K88,Inputs!$B$35*K87,Inputs!$B$36)</f>
        <v>0</v>
      </c>
      <c r="L89" s="47" t="n">
        <f aca="false">MIN(L88,Inputs!$B$35*L87,Inputs!$B$36)</f>
        <v>0</v>
      </c>
      <c r="M89" s="47" t="n">
        <f aca="false">MIN(M88,Inputs!$B$35*M87,Inputs!$B$36)</f>
        <v>0</v>
      </c>
      <c r="N89" s="47" t="n">
        <f aca="false">MIN(N88,Inputs!$B$35*N87,Inputs!$B$36)</f>
        <v>0</v>
      </c>
      <c r="O89" s="47" t="n">
        <f aca="false">MIN(O88,Inputs!$B$35*O87,Inputs!$B$36)</f>
        <v>0</v>
      </c>
      <c r="P89" s="47" t="n">
        <f aca="false">MIN(P88,Inputs!$B$35*P87,Inputs!$B$36)</f>
        <v>0</v>
      </c>
      <c r="Q89" s="47" t="n">
        <f aca="false">MIN(Q88,Inputs!$B$35*Q87,Inputs!$B$36)</f>
        <v>0</v>
      </c>
      <c r="R89" s="47" t="n">
        <f aca="false">MIN(R88,Inputs!$B$35*R87,Inputs!$B$36)</f>
        <v>0</v>
      </c>
      <c r="S89" s="47" t="n">
        <f aca="false">MIN(S88,Inputs!$B$35*S87,Inputs!$B$36)</f>
        <v>0</v>
      </c>
      <c r="T89" s="47" t="n">
        <f aca="false">MIN(T88,Inputs!$B$35*T87,Inputs!$B$36)</f>
        <v>0</v>
      </c>
      <c r="U89" s="47" t="n">
        <f aca="false">MIN(U88,Inputs!$B$35*U87,Inputs!$B$36)</f>
        <v>0</v>
      </c>
      <c r="V89" s="47" t="n">
        <f aca="false">MIN(V88,Inputs!$B$35*V87,Inputs!$B$36)</f>
        <v>0</v>
      </c>
      <c r="W89" s="47" t="n">
        <f aca="false">MIN(W88,Inputs!$B$35*W87,Inputs!$B$36)</f>
        <v>0</v>
      </c>
      <c r="X89" s="47" t="n">
        <f aca="false">MIN(X88,Inputs!$B$35*X87,Inputs!$B$36)</f>
        <v>0</v>
      </c>
      <c r="Y89" s="47" t="n">
        <f aca="false">MIN(Y88,Inputs!$B$35*Y87,Inputs!$B$36)</f>
        <v>0</v>
      </c>
      <c r="Z89" s="47" t="n">
        <f aca="false">MIN(Z88,Inputs!$B$35*Z87,Inputs!$B$36)</f>
        <v>0</v>
      </c>
      <c r="AA89" s="47" t="n">
        <f aca="false">MIN(AA88,Inputs!$B$35*AA87,Inputs!$B$36)</f>
        <v>0</v>
      </c>
      <c r="AB89" s="47" t="n">
        <f aca="false">MIN(AB88,Inputs!$B$35*AB87,Inputs!$B$36)</f>
        <v>0</v>
      </c>
      <c r="AC89" s="47" t="n">
        <f aca="false">MIN(AC88,Inputs!$B$35*AC87,Inputs!$B$36)</f>
        <v>0</v>
      </c>
      <c r="AD89" s="47" t="n">
        <f aca="false">MIN(AD88,Inputs!$B$35*AD87,Inputs!$B$36)</f>
        <v>0</v>
      </c>
      <c r="AE89" s="47" t="n">
        <f aca="false">MIN(AE88,Inputs!$B$35*AE87,Inputs!$B$36)</f>
        <v>0</v>
      </c>
      <c r="AF89" s="47" t="n">
        <f aca="false">MIN(AF88,Inputs!$B$35*AF87,Inputs!$B$36)</f>
        <v>0</v>
      </c>
      <c r="AG89" s="47" t="n">
        <f aca="false">MIN(AG88,Inputs!$B$35*AG87,Inputs!$B$36)</f>
        <v>0</v>
      </c>
      <c r="AH89" s="47" t="n">
        <f aca="false">MIN(AH88,Inputs!$B$35*AH87,Inputs!$B$36)</f>
        <v>0</v>
      </c>
      <c r="AI89" s="47" t="n">
        <f aca="false">MIN(AI88,Inputs!$B$35*AI87,Inputs!$B$36)</f>
        <v>0</v>
      </c>
      <c r="AJ89" s="47" t="n">
        <f aca="false">MIN(AJ88,Inputs!$B$35*AJ87,Inputs!$B$36)</f>
        <v>0</v>
      </c>
      <c r="AK89" s="47" t="n">
        <f aca="false">MIN(AK88,Inputs!$B$35*AK87,Inputs!$B$36)</f>
        <v>0</v>
      </c>
    </row>
    <row r="90" customFormat="false" ht="15" hidden="false" customHeight="false" outlineLevel="0" collapsed="false">
      <c r="A90" s="10" t="s">
        <v>582</v>
      </c>
      <c r="G90" s="47" t="n">
        <f aca="false">$F$40</f>
        <v>120.815559196342</v>
      </c>
      <c r="H90" s="47" t="n">
        <f aca="false">G90</f>
        <v>120.815559196342</v>
      </c>
      <c r="I90" s="47" t="n">
        <f aca="false">H90-H91</f>
        <v>120.815559196342</v>
      </c>
      <c r="J90" s="47" t="n">
        <f aca="false">I90-I91</f>
        <v>120.815559196342</v>
      </c>
      <c r="K90" s="47" t="n">
        <f aca="false">J90-J91</f>
        <v>120.815559196342</v>
      </c>
      <c r="L90" s="47" t="n">
        <f aca="false">K90-K91</f>
        <v>120.815559196342</v>
      </c>
      <c r="M90" s="47" t="n">
        <f aca="false">L90-L91</f>
        <v>120.815559196342</v>
      </c>
      <c r="N90" s="47" t="n">
        <f aca="false">M90-M91</f>
        <v>120.815559196342</v>
      </c>
      <c r="O90" s="47" t="n">
        <f aca="false">N90-N91</f>
        <v>120.815559196342</v>
      </c>
      <c r="P90" s="47" t="n">
        <f aca="false">O90-O91</f>
        <v>120.815559196342</v>
      </c>
      <c r="Q90" s="47" t="n">
        <f aca="false">P90-P91</f>
        <v>120.815559196342</v>
      </c>
      <c r="R90" s="47" t="n">
        <f aca="false">Q90-Q91</f>
        <v>120.815559196342</v>
      </c>
      <c r="S90" s="47" t="n">
        <f aca="false">R90-R91</f>
        <v>120.815559196342</v>
      </c>
      <c r="T90" s="47" t="n">
        <f aca="false">S90-S91</f>
        <v>120.815559196342</v>
      </c>
      <c r="U90" s="47" t="n">
        <f aca="false">T90-T91</f>
        <v>120.815559196342</v>
      </c>
      <c r="V90" s="47" t="n">
        <f aca="false">U90-U91</f>
        <v>120.815559196342</v>
      </c>
      <c r="W90" s="47" t="n">
        <f aca="false">V90-V91</f>
        <v>120.815559196342</v>
      </c>
      <c r="X90" s="47" t="n">
        <f aca="false">W90-W91</f>
        <v>120.815559196342</v>
      </c>
      <c r="Y90" s="47" t="n">
        <f aca="false">X90-X91</f>
        <v>120.815559196342</v>
      </c>
      <c r="Z90" s="47" t="n">
        <f aca="false">Y90-Y91</f>
        <v>120.815559196342</v>
      </c>
      <c r="AA90" s="47" t="n">
        <f aca="false">Z90-Z91</f>
        <v>120.815559196342</v>
      </c>
      <c r="AB90" s="47" t="n">
        <f aca="false">AA90-AA91</f>
        <v>120.815559196342</v>
      </c>
      <c r="AC90" s="47" t="n">
        <f aca="false">AB90-AB91</f>
        <v>120.815559196342</v>
      </c>
      <c r="AD90" s="47" t="n">
        <f aca="false">AC90-AC91</f>
        <v>120.815559196342</v>
      </c>
      <c r="AE90" s="47" t="n">
        <f aca="false">AD90-AD91</f>
        <v>120.815559196342</v>
      </c>
      <c r="AF90" s="47" t="n">
        <f aca="false">AE90-AE91</f>
        <v>120.815559196342</v>
      </c>
      <c r="AG90" s="47" t="n">
        <f aca="false">AF90-AF91</f>
        <v>120.815559196342</v>
      </c>
      <c r="AH90" s="47" t="n">
        <f aca="false">AG90-AG91</f>
        <v>120.815559196342</v>
      </c>
      <c r="AI90" s="47" t="n">
        <f aca="false">AH90-AH91</f>
        <v>120.815559196342</v>
      </c>
      <c r="AJ90" s="47" t="n">
        <f aca="false">AI90-AI91</f>
        <v>120.815559196342</v>
      </c>
      <c r="AK90" s="47" t="n">
        <f aca="false">AJ90-AJ91</f>
        <v>120.815559196342</v>
      </c>
    </row>
    <row r="91" customFormat="false" ht="15" hidden="false" customHeight="false" outlineLevel="0" collapsed="false">
      <c r="A91" s="10" t="s">
        <v>576</v>
      </c>
      <c r="H91" s="47" t="n">
        <f aca="false">MIN(H90,Inputs!$B$35*H87-H89)</f>
        <v>0</v>
      </c>
      <c r="I91" s="47" t="n">
        <f aca="false">MIN(I90,Inputs!$B$35*I87-I89)</f>
        <v>0</v>
      </c>
      <c r="J91" s="47" t="n">
        <f aca="false">MIN(J90,Inputs!$B$35*J87-J89)</f>
        <v>0</v>
      </c>
      <c r="K91" s="47" t="n">
        <f aca="false">MIN(K90,Inputs!$B$35*K87-K89)</f>
        <v>0</v>
      </c>
      <c r="L91" s="47" t="n">
        <f aca="false">MIN(L90,Inputs!$B$35*L87-L89)</f>
        <v>0</v>
      </c>
      <c r="M91" s="47" t="n">
        <f aca="false">MIN(M90,Inputs!$B$35*M87-M89)</f>
        <v>0</v>
      </c>
      <c r="N91" s="47" t="n">
        <f aca="false">MIN(N90,Inputs!$B$35*N87-N89)</f>
        <v>0</v>
      </c>
      <c r="O91" s="47" t="n">
        <f aca="false">MIN(O90,Inputs!$B$35*O87-O89)</f>
        <v>0</v>
      </c>
      <c r="P91" s="47" t="n">
        <f aca="false">MIN(P90,Inputs!$B$35*P87-P89)</f>
        <v>0</v>
      </c>
      <c r="Q91" s="47" t="n">
        <f aca="false">MIN(Q90,Inputs!$B$35*Q87-Q89)</f>
        <v>0</v>
      </c>
      <c r="R91" s="47" t="n">
        <f aca="false">MIN(R90,Inputs!$B$35*R87-R89)</f>
        <v>0</v>
      </c>
      <c r="S91" s="47" t="n">
        <f aca="false">MIN(S90,Inputs!$B$35*S87-S89)</f>
        <v>0</v>
      </c>
      <c r="T91" s="47" t="n">
        <f aca="false">MIN(T90,Inputs!$B$35*T87-T89)</f>
        <v>0</v>
      </c>
      <c r="U91" s="47" t="n">
        <f aca="false">MIN(U90,Inputs!$B$35*U87-U89)</f>
        <v>0</v>
      </c>
      <c r="V91" s="47" t="n">
        <f aca="false">MIN(V90,Inputs!$B$35*V87-V89)</f>
        <v>0</v>
      </c>
      <c r="W91" s="47" t="n">
        <f aca="false">MIN(W90,Inputs!$B$35*W87-W89)</f>
        <v>0</v>
      </c>
      <c r="X91" s="47" t="n">
        <f aca="false">MIN(X90,Inputs!$B$35*X87-X89)</f>
        <v>0</v>
      </c>
      <c r="Y91" s="47" t="n">
        <f aca="false">MIN(Y90,Inputs!$B$35*Y87-Y89)</f>
        <v>0</v>
      </c>
      <c r="Z91" s="47" t="n">
        <f aca="false">MIN(Z90,Inputs!$B$35*Z87-Z89)</f>
        <v>0</v>
      </c>
      <c r="AA91" s="47" t="n">
        <f aca="false">MIN(AA90,Inputs!$B$35*AA87-AA89)</f>
        <v>0</v>
      </c>
      <c r="AB91" s="47" t="n">
        <f aca="false">MIN(AB90,Inputs!$B$35*AB87-AB89)</f>
        <v>0</v>
      </c>
      <c r="AC91" s="47" t="n">
        <f aca="false">MIN(AC90,Inputs!$B$35*AC87-AC89)</f>
        <v>0</v>
      </c>
      <c r="AD91" s="47" t="n">
        <f aca="false">MIN(AD90,Inputs!$B$35*AD87-AD89)</f>
        <v>0</v>
      </c>
      <c r="AE91" s="47" t="n">
        <f aca="false">MIN(AE90,Inputs!$B$35*AE87-AE89)</f>
        <v>0</v>
      </c>
      <c r="AF91" s="47" t="n">
        <f aca="false">MIN(AF90,Inputs!$B$35*AF87-AF89)</f>
        <v>0</v>
      </c>
      <c r="AG91" s="47" t="n">
        <f aca="false">MIN(AG90,Inputs!$B$35*AG87-AG89)</f>
        <v>0</v>
      </c>
      <c r="AH91" s="47" t="n">
        <f aca="false">MIN(AH90,Inputs!$B$35*AH87-AH89)</f>
        <v>0</v>
      </c>
      <c r="AI91" s="47" t="n">
        <f aca="false">MIN(AI90,Inputs!$B$35*AI87-AI89)</f>
        <v>0</v>
      </c>
      <c r="AJ91" s="47" t="n">
        <f aca="false">MIN(AJ90,Inputs!$B$35*AJ87-AJ89)</f>
        <v>0</v>
      </c>
      <c r="AK91" s="47" t="n">
        <f aca="false">MIN(AK90,Inputs!$B$35*AK87-AK89)</f>
        <v>0</v>
      </c>
    </row>
    <row r="92" customFormat="false" ht="15" hidden="false" customHeight="false" outlineLevel="0" collapsed="false">
      <c r="A92" s="10" t="s">
        <v>583</v>
      </c>
      <c r="H92" s="47" t="n">
        <f aca="false">(H87-H89-H91)*Inputs!$B$33</f>
        <v>0</v>
      </c>
      <c r="I92" s="47" t="n">
        <f aca="false">(I87-I89-I91)*Inputs!$B$33</f>
        <v>0</v>
      </c>
      <c r="J92" s="47" t="n">
        <f aca="false">(J87-J89-J91)*Inputs!$B$33</f>
        <v>0</v>
      </c>
      <c r="K92" s="47" t="n">
        <f aca="false">(K87-K89-K91)*Inputs!$B$33</f>
        <v>0</v>
      </c>
      <c r="L92" s="47" t="n">
        <f aca="false">(L87-L89-L91)*Inputs!$B$33</f>
        <v>0</v>
      </c>
      <c r="M92" s="47" t="n">
        <f aca="false">(M87-M89-M91)*Inputs!$B$33</f>
        <v>0</v>
      </c>
      <c r="N92" s="47" t="n">
        <f aca="false">(N87-N89-N91)*Inputs!$B$33</f>
        <v>0</v>
      </c>
      <c r="O92" s="47" t="n">
        <f aca="false">(O87-O89-O91)*Inputs!$B$33</f>
        <v>0</v>
      </c>
      <c r="P92" s="47" t="n">
        <f aca="false">(P87-P89-P91)*Inputs!$B$33</f>
        <v>0</v>
      </c>
      <c r="Q92" s="47" t="n">
        <f aca="false">(Q87-Q89-Q91)*Inputs!$B$33</f>
        <v>0</v>
      </c>
      <c r="R92" s="47" t="n">
        <f aca="false">(R87-R89-R91)*Inputs!$B$33</f>
        <v>0</v>
      </c>
      <c r="S92" s="47" t="n">
        <f aca="false">(S87-S89-S91)*Inputs!$B$33</f>
        <v>0</v>
      </c>
      <c r="T92" s="47" t="n">
        <f aca="false">(T87-T89-T91)*Inputs!$B$33</f>
        <v>0</v>
      </c>
      <c r="U92" s="47" t="n">
        <f aca="false">(U87-U89-U91)*Inputs!$B$33</f>
        <v>0</v>
      </c>
      <c r="V92" s="47" t="n">
        <f aca="false">(V87-V89-V91)*Inputs!$B$33</f>
        <v>0</v>
      </c>
      <c r="W92" s="47" t="n">
        <f aca="false">(W87-W89-W91)*Inputs!$B$33</f>
        <v>0</v>
      </c>
      <c r="X92" s="47" t="n">
        <f aca="false">(X87-X89-X91)*Inputs!$B$33</f>
        <v>0</v>
      </c>
      <c r="Y92" s="47" t="n">
        <f aca="false">(Y87-Y89-Y91)*Inputs!$B$33</f>
        <v>0</v>
      </c>
      <c r="Z92" s="47" t="n">
        <f aca="false">(Z87-Z89-Z91)*Inputs!$B$33</f>
        <v>0</v>
      </c>
      <c r="AA92" s="47" t="n">
        <f aca="false">(AA87-AA89-AA91)*Inputs!$B$33</f>
        <v>0</v>
      </c>
      <c r="AB92" s="47" t="n">
        <f aca="false">(AB87-AB89-AB91)*Inputs!$B$33</f>
        <v>0</v>
      </c>
      <c r="AC92" s="47" t="n">
        <f aca="false">(AC87-AC89-AC91)*Inputs!$B$33</f>
        <v>0</v>
      </c>
      <c r="AD92" s="47" t="n">
        <f aca="false">(AD87-AD89-AD91)*Inputs!$B$33</f>
        <v>0</v>
      </c>
      <c r="AE92" s="47" t="n">
        <f aca="false">(AE87-AE89-AE91)*Inputs!$B$33</f>
        <v>0</v>
      </c>
      <c r="AF92" s="47" t="n">
        <f aca="false">(AF87-AF89-AF91)*Inputs!$B$33</f>
        <v>0</v>
      </c>
      <c r="AG92" s="47" t="n">
        <f aca="false">(AG87-AG89-AG91)*Inputs!$B$33</f>
        <v>0</v>
      </c>
      <c r="AH92" s="47" t="n">
        <f aca="false">(AH87-AH89-AH91)*Inputs!$B$33</f>
        <v>0</v>
      </c>
      <c r="AI92" s="47" t="n">
        <f aca="false">(AI87-AI89-AI91)*Inputs!$B$33</f>
        <v>0</v>
      </c>
      <c r="AJ92" s="47" t="n">
        <f aca="false">(AJ87-AJ89-AJ91)*Inputs!$B$33</f>
        <v>0</v>
      </c>
      <c r="AK92" s="47" t="n">
        <f aca="false">(AK87-AK89-AK91)*Inputs!$B$33</f>
        <v>0</v>
      </c>
    </row>
    <row r="93" customFormat="false" ht="15" hidden="false" customHeight="false" outlineLevel="0" collapsed="false">
      <c r="A93" s="10" t="s">
        <v>584</v>
      </c>
      <c r="G93" s="47" t="n">
        <f aca="false">$F$43</f>
        <v>3.586</v>
      </c>
      <c r="H93" s="47" t="n">
        <f aca="false">G93</f>
        <v>3.586</v>
      </c>
      <c r="I93" s="47" t="n">
        <f aca="false">H93-H94</f>
        <v>3.586</v>
      </c>
      <c r="J93" s="47" t="n">
        <f aca="false">I93-I94</f>
        <v>3.586</v>
      </c>
      <c r="K93" s="47" t="n">
        <f aca="false">J93-J94</f>
        <v>3.586</v>
      </c>
      <c r="L93" s="47" t="n">
        <f aca="false">K93-K94</f>
        <v>3.586</v>
      </c>
      <c r="M93" s="47" t="n">
        <f aca="false">L93-L94</f>
        <v>3.586</v>
      </c>
      <c r="N93" s="47" t="n">
        <f aca="false">M93-M94</f>
        <v>3.586</v>
      </c>
      <c r="O93" s="47" t="n">
        <f aca="false">N93-N94</f>
        <v>3.586</v>
      </c>
      <c r="P93" s="47" t="n">
        <f aca="false">O93-O94</f>
        <v>3.586</v>
      </c>
      <c r="Q93" s="47" t="n">
        <f aca="false">P93-P94</f>
        <v>3.586</v>
      </c>
      <c r="R93" s="47" t="n">
        <f aca="false">Q93-Q94</f>
        <v>3.586</v>
      </c>
      <c r="S93" s="47" t="n">
        <f aca="false">R93-R94</f>
        <v>3.586</v>
      </c>
      <c r="T93" s="47" t="n">
        <f aca="false">S93-S94</f>
        <v>3.586</v>
      </c>
      <c r="U93" s="47" t="n">
        <f aca="false">T93-T94</f>
        <v>3.586</v>
      </c>
      <c r="V93" s="47" t="n">
        <f aca="false">U93-U94</f>
        <v>3.586</v>
      </c>
      <c r="W93" s="47" t="n">
        <f aca="false">V93-V94</f>
        <v>3.586</v>
      </c>
      <c r="X93" s="47" t="n">
        <f aca="false">W93-W94</f>
        <v>3.586</v>
      </c>
      <c r="Y93" s="47" t="n">
        <f aca="false">X93-X94</f>
        <v>3.586</v>
      </c>
      <c r="Z93" s="47" t="n">
        <f aca="false">Y93-Y94</f>
        <v>3.586</v>
      </c>
      <c r="AA93" s="47" t="n">
        <f aca="false">Z93-Z94</f>
        <v>3.586</v>
      </c>
      <c r="AB93" s="47" t="n">
        <f aca="false">AA93-AA94</f>
        <v>3.586</v>
      </c>
      <c r="AC93" s="47" t="n">
        <f aca="false">AB93-AB94</f>
        <v>3.586</v>
      </c>
      <c r="AD93" s="47" t="n">
        <f aca="false">AC93-AC94</f>
        <v>3.586</v>
      </c>
      <c r="AE93" s="47" t="n">
        <f aca="false">AD93-AD94</f>
        <v>3.586</v>
      </c>
      <c r="AF93" s="47" t="n">
        <f aca="false">AE93-AE94</f>
        <v>3.586</v>
      </c>
      <c r="AG93" s="47" t="n">
        <f aca="false">AF93-AF94</f>
        <v>3.586</v>
      </c>
      <c r="AH93" s="47" t="n">
        <f aca="false">AG93-AG94</f>
        <v>3.586</v>
      </c>
      <c r="AI93" s="47" t="n">
        <f aca="false">AH93-AH94</f>
        <v>3.586</v>
      </c>
      <c r="AJ93" s="47" t="n">
        <f aca="false">AI93-AI94</f>
        <v>3.586</v>
      </c>
      <c r="AK93" s="47" t="n">
        <f aca="false">AJ93-AJ94</f>
        <v>3.586</v>
      </c>
    </row>
    <row r="94" customFormat="false" ht="15" hidden="false" customHeight="false" outlineLevel="0" collapsed="false">
      <c r="A94" s="10" t="s">
        <v>585</v>
      </c>
      <c r="H94" s="47" t="n">
        <f aca="false">IF(1&lt;=Inputs!$B$43,MIN(H93,H92,MAX(0,Inputs!$B$36-H89)*Inputs!$B$33),0)</f>
        <v>0</v>
      </c>
      <c r="I94" s="47" t="n">
        <f aca="false">IF(2&lt;=Inputs!$B$43,MIN(I93,I92,MAX(0,Inputs!$B$36-I89)*Inputs!$B$33),0)</f>
        <v>0</v>
      </c>
      <c r="J94" s="47" t="n">
        <f aca="false">IF(3&lt;=Inputs!$B$43,MIN(J93,J92,MAX(0,Inputs!$B$36-J89)*Inputs!$B$33),0)</f>
        <v>0</v>
      </c>
      <c r="K94" s="47" t="n">
        <f aca="false">IF(4&lt;=Inputs!$B$43,MIN(K93,K92,MAX(0,Inputs!$B$36-K89)*Inputs!$B$33),0)</f>
        <v>0</v>
      </c>
      <c r="L94" s="47" t="n">
        <f aca="false">IF(5&lt;=Inputs!$B$43,MIN(L93,L92,MAX(0,Inputs!$B$36-L89)*Inputs!$B$33),0)</f>
        <v>0</v>
      </c>
      <c r="M94" s="47" t="n">
        <f aca="false">IF(6&lt;=Inputs!$B$43,MIN(M93,M92,MAX(0,Inputs!$B$36-M89)*Inputs!$B$33),0)</f>
        <v>0</v>
      </c>
      <c r="N94" s="47" t="n">
        <f aca="false">IF(7&lt;=Inputs!$B$43,MIN(N93,N92,MAX(0,Inputs!$B$36-N89)*Inputs!$B$33),0)</f>
        <v>0</v>
      </c>
      <c r="O94" s="47" t="n">
        <f aca="false">IF(8&lt;=Inputs!$B$43,MIN(O93,O92,MAX(0,Inputs!$B$36-O89)*Inputs!$B$33),0)</f>
        <v>0</v>
      </c>
      <c r="P94" s="47" t="n">
        <f aca="false">IF(9&lt;=Inputs!$B$43,MIN(P93,P92,MAX(0,Inputs!$B$36-P89)*Inputs!$B$33),0)</f>
        <v>0</v>
      </c>
      <c r="Q94" s="47" t="n">
        <f aca="false">IF(10&lt;=Inputs!$B$43,MIN(Q93,Q92,MAX(0,Inputs!$B$36-Q89)*Inputs!$B$33),0)</f>
        <v>0</v>
      </c>
      <c r="R94" s="47" t="n">
        <f aca="false">IF(11&lt;=Inputs!$B$43,MIN(R93,R92,MAX(0,Inputs!$B$36-R89)*Inputs!$B$33),0)</f>
        <v>0</v>
      </c>
      <c r="S94" s="47" t="n">
        <f aca="false">IF(12&lt;=Inputs!$B$43,MIN(S93,S92,MAX(0,Inputs!$B$36-S89)*Inputs!$B$33),0)</f>
        <v>0</v>
      </c>
      <c r="T94" s="47" t="n">
        <f aca="false">IF(13&lt;=Inputs!$B$43,MIN(T93,T92,MAX(0,Inputs!$B$36-T89)*Inputs!$B$33),0)</f>
        <v>0</v>
      </c>
      <c r="U94" s="47" t="n">
        <f aca="false">IF(14&lt;=Inputs!$B$43,MIN(U93,U92,MAX(0,Inputs!$B$36-U89)*Inputs!$B$33),0)</f>
        <v>0</v>
      </c>
      <c r="V94" s="47" t="n">
        <f aca="false">IF(15&lt;=Inputs!$B$43,MIN(V93,V92,MAX(0,Inputs!$B$36-V89)*Inputs!$B$33),0)</f>
        <v>0</v>
      </c>
      <c r="W94" s="47" t="n">
        <f aca="false">IF(16&lt;=Inputs!$B$43,MIN(W93,W92,MAX(0,Inputs!$B$36-W89)*Inputs!$B$33),0)</f>
        <v>0</v>
      </c>
      <c r="X94" s="47" t="n">
        <f aca="false">IF(17&lt;=Inputs!$B$43,MIN(X93,X92,MAX(0,Inputs!$B$36-X89)*Inputs!$B$33),0)</f>
        <v>0</v>
      </c>
      <c r="Y94" s="47" t="n">
        <f aca="false">IF(18&lt;=Inputs!$B$43,MIN(Y93,Y92,MAX(0,Inputs!$B$36-Y89)*Inputs!$B$33),0)</f>
        <v>0</v>
      </c>
      <c r="Z94" s="47" t="n">
        <f aca="false">IF(19&lt;=Inputs!$B$43,MIN(Z93,Z92,MAX(0,Inputs!$B$36-Z89)*Inputs!$B$33),0)</f>
        <v>0</v>
      </c>
      <c r="AA94" s="47" t="n">
        <f aca="false">IF(20&lt;=Inputs!$B$43,MIN(AA93,AA92,MAX(0,Inputs!$B$36-AA89)*Inputs!$B$33),0)</f>
        <v>0</v>
      </c>
      <c r="AB94" s="47" t="n">
        <f aca="false">IF(21&lt;=Inputs!$B$43,MIN(AB93,AB92,MAX(0,Inputs!$B$36-AB89)*Inputs!$B$33),0)</f>
        <v>0</v>
      </c>
      <c r="AC94" s="47" t="n">
        <f aca="false">IF(22&lt;=Inputs!$B$43,MIN(AC93,AC92,MAX(0,Inputs!$B$36-AC89)*Inputs!$B$33),0)</f>
        <v>0</v>
      </c>
      <c r="AD94" s="47" t="n">
        <f aca="false">IF(23&lt;=Inputs!$B$43,MIN(AD93,AD92,MAX(0,Inputs!$B$36-AD89)*Inputs!$B$33),0)</f>
        <v>0</v>
      </c>
      <c r="AE94" s="47" t="n">
        <f aca="false">IF(24&lt;=Inputs!$B$43,MIN(AE93,AE92,MAX(0,Inputs!$B$36-AE89)*Inputs!$B$33),0)</f>
        <v>0</v>
      </c>
      <c r="AF94" s="47" t="n">
        <f aca="false">IF(25&lt;=Inputs!$B$43,MIN(AF93,AF92,MAX(0,Inputs!$B$36-AF89)*Inputs!$B$33),0)</f>
        <v>0</v>
      </c>
      <c r="AG94" s="47" t="n">
        <f aca="false">IF(26&lt;=Inputs!$B$43,MIN(AG93,AG92,MAX(0,Inputs!$B$36-AG89)*Inputs!$B$33),0)</f>
        <v>0</v>
      </c>
      <c r="AH94" s="47" t="n">
        <f aca="false">IF(27&lt;=Inputs!$B$43,MIN(AH93,AH92,MAX(0,Inputs!$B$36-AH89)*Inputs!$B$33),0)</f>
        <v>0</v>
      </c>
      <c r="AI94" s="47" t="n">
        <f aca="false">IF(28&lt;=Inputs!$B$43,MIN(AI93,AI92,MAX(0,Inputs!$B$36-AI89)*Inputs!$B$33),0)</f>
        <v>0</v>
      </c>
      <c r="AJ94" s="47" t="n">
        <f aca="false">IF(29&lt;=Inputs!$B$43,MIN(AJ93,AJ92,MAX(0,Inputs!$B$36-AJ89)*Inputs!$B$33),0)</f>
        <v>0</v>
      </c>
      <c r="AK94" s="47" t="n">
        <f aca="false">IF(30&lt;=Inputs!$B$43,MIN(AK93,AK92,MAX(0,Inputs!$B$36-AK89)*Inputs!$B$33),0)</f>
        <v>0</v>
      </c>
    </row>
    <row r="95" customFormat="false" ht="15" hidden="false" customHeight="false" outlineLevel="0" collapsed="false">
      <c r="A95" s="10" t="s">
        <v>586</v>
      </c>
      <c r="H95" s="47" t="n">
        <f aca="false">($B$80*Inputs!$B$34+($B$80-$B$80*Inputs!$B$34)*Inputs!$B$33)-(H86+H92-H94)</f>
        <v>0</v>
      </c>
      <c r="I95" s="47" t="n">
        <f aca="false">($B$80*Inputs!$B$34+($B$80-$B$80*Inputs!$B$34)*Inputs!$B$33)-(I86+I92-I94)</f>
        <v>0</v>
      </c>
      <c r="J95" s="47" t="n">
        <f aca="false">($B$80*Inputs!$B$34+($B$80-$B$80*Inputs!$B$34)*Inputs!$B$33)-(J86+J92-J94)</f>
        <v>0</v>
      </c>
      <c r="K95" s="47" t="n">
        <f aca="false">($B$80*Inputs!$B$34+($B$80-$B$80*Inputs!$B$34)*Inputs!$B$33)-(K86+K92-K94)</f>
        <v>0</v>
      </c>
      <c r="L95" s="47" t="n">
        <f aca="false">($B$80*Inputs!$B$34+($B$80-$B$80*Inputs!$B$34)*Inputs!$B$33)-(L86+L92-L94)</f>
        <v>0</v>
      </c>
      <c r="M95" s="47" t="n">
        <f aca="false">($B$80*Inputs!$B$34+($B$80-$B$80*Inputs!$B$34)*Inputs!$B$33)-(M86+M92-M94)</f>
        <v>0</v>
      </c>
      <c r="N95" s="47" t="n">
        <f aca="false">($B$80*Inputs!$B$34+($B$80-$B$80*Inputs!$B$34)*Inputs!$B$33)-(N86+N92-N94)</f>
        <v>0</v>
      </c>
      <c r="O95" s="47" t="n">
        <f aca="false">($B$80*Inputs!$B$34+($B$80-$B$80*Inputs!$B$34)*Inputs!$B$33)-(O86+O92-O94)</f>
        <v>0</v>
      </c>
      <c r="P95" s="47" t="n">
        <f aca="false">($B$80*Inputs!$B$34+($B$80-$B$80*Inputs!$B$34)*Inputs!$B$33)-(P86+P92-P94)</f>
        <v>0</v>
      </c>
      <c r="Q95" s="47" t="n">
        <f aca="false">($B$80*Inputs!$B$34+($B$80-$B$80*Inputs!$B$34)*Inputs!$B$33)-(Q86+Q92-Q94)</f>
        <v>0</v>
      </c>
      <c r="R95" s="47" t="n">
        <f aca="false">($B$80*Inputs!$B$34+($B$80-$B$80*Inputs!$B$34)*Inputs!$B$33)-(R86+R92-R94)</f>
        <v>0</v>
      </c>
      <c r="S95" s="47" t="n">
        <f aca="false">($B$80*Inputs!$B$34+($B$80-$B$80*Inputs!$B$34)*Inputs!$B$33)-(S86+S92-S94)</f>
        <v>0</v>
      </c>
      <c r="T95" s="47" t="n">
        <f aca="false">($B$80*Inputs!$B$34+($B$80-$B$80*Inputs!$B$34)*Inputs!$B$33)-(T86+T92-T94)</f>
        <v>0</v>
      </c>
      <c r="U95" s="47" t="n">
        <f aca="false">($B$80*Inputs!$B$34+($B$80-$B$80*Inputs!$B$34)*Inputs!$B$33)-(U86+U92-U94)</f>
        <v>0</v>
      </c>
      <c r="V95" s="47" t="n">
        <f aca="false">($B$80*Inputs!$B$34+($B$80-$B$80*Inputs!$B$34)*Inputs!$B$33)-(V86+V92-V94)</f>
        <v>0</v>
      </c>
      <c r="W95" s="47" t="n">
        <f aca="false">($B$80*Inputs!$B$34+($B$80-$B$80*Inputs!$B$34)*Inputs!$B$33)-(W86+W92-W94)</f>
        <v>0</v>
      </c>
      <c r="X95" s="47" t="n">
        <f aca="false">($B$80*Inputs!$B$34+($B$80-$B$80*Inputs!$B$34)*Inputs!$B$33)-(X86+X92-X94)</f>
        <v>0</v>
      </c>
      <c r="Y95" s="47" t="n">
        <f aca="false">($B$80*Inputs!$B$34+($B$80-$B$80*Inputs!$B$34)*Inputs!$B$33)-(Y86+Y92-Y94)</f>
        <v>0</v>
      </c>
      <c r="Z95" s="47" t="n">
        <f aca="false">($B$80*Inputs!$B$34+($B$80-$B$80*Inputs!$B$34)*Inputs!$B$33)-(Z86+Z92-Z94)</f>
        <v>0</v>
      </c>
      <c r="AA95" s="47" t="n">
        <f aca="false">($B$80*Inputs!$B$34+($B$80-$B$80*Inputs!$B$34)*Inputs!$B$33)-(AA86+AA92-AA94)</f>
        <v>0</v>
      </c>
      <c r="AB95" s="47" t="n">
        <f aca="false">($B$80*Inputs!$B$34+($B$80-$B$80*Inputs!$B$34)*Inputs!$B$33)-(AB86+AB92-AB94)</f>
        <v>0</v>
      </c>
      <c r="AC95" s="47" t="n">
        <f aca="false">($B$80*Inputs!$B$34+($B$80-$B$80*Inputs!$B$34)*Inputs!$B$33)-(AC86+AC92-AC94)</f>
        <v>0</v>
      </c>
      <c r="AD95" s="47" t="n">
        <f aca="false">($B$80*Inputs!$B$34+($B$80-$B$80*Inputs!$B$34)*Inputs!$B$33)-(AD86+AD92-AD94)</f>
        <v>0</v>
      </c>
      <c r="AE95" s="47" t="n">
        <f aca="false">($B$80*Inputs!$B$34+($B$80-$B$80*Inputs!$B$34)*Inputs!$B$33)-(AE86+AE92-AE94)</f>
        <v>0</v>
      </c>
      <c r="AF95" s="47" t="n">
        <f aca="false">($B$80*Inputs!$B$34+($B$80-$B$80*Inputs!$B$34)*Inputs!$B$33)-(AF86+AF92-AF94)</f>
        <v>0</v>
      </c>
      <c r="AG95" s="47" t="n">
        <f aca="false">($B$80*Inputs!$B$34+($B$80-$B$80*Inputs!$B$34)*Inputs!$B$33)-(AG86+AG92-AG94)</f>
        <v>0</v>
      </c>
      <c r="AH95" s="47" t="n">
        <f aca="false">($B$80*Inputs!$B$34+($B$80-$B$80*Inputs!$B$34)*Inputs!$B$33)-(AH86+AH92-AH94)</f>
        <v>0</v>
      </c>
      <c r="AI95" s="47" t="n">
        <f aca="false">($B$80*Inputs!$B$34+($B$80-$B$80*Inputs!$B$34)*Inputs!$B$33)-(AI86+AI92-AI94)</f>
        <v>0</v>
      </c>
      <c r="AJ95" s="47" t="n">
        <f aca="false">($B$80*Inputs!$B$34+($B$80-$B$80*Inputs!$B$34)*Inputs!$B$33)-(AJ86+AJ92-AJ94)</f>
        <v>0</v>
      </c>
      <c r="AK95" s="47" t="n">
        <f aca="false">($B$80*Inputs!$B$34+($B$80-$B$80*Inputs!$B$34)*Inputs!$B$33)-(AK86+AK92-AK94)</f>
        <v>0</v>
      </c>
    </row>
    <row r="96" customFormat="false" ht="15" hidden="false" customHeight="false" outlineLevel="0" collapsed="false">
      <c r="A96" s="10" t="s">
        <v>587</v>
      </c>
      <c r="B96" s="47" t="n">
        <f aca="false">SUMPRODUCT($H$95:$AK$95,$H$81:$AK$81)</f>
        <v>0</v>
      </c>
    </row>
    <row r="97" customFormat="false" ht="15" hidden="false" customHeight="false" outlineLevel="0" collapsed="false">
      <c r="A97" s="10" t="s">
        <v>588</v>
      </c>
      <c r="B97" s="47" t="n">
        <f aca="false">Inputs!$B$42*$B$96*$F$527</f>
        <v>0</v>
      </c>
    </row>
    <row r="98" customFormat="false" ht="15" hidden="false" customHeight="false" outlineLevel="0" collapsed="false">
      <c r="A98" s="10" t="s">
        <v>589</v>
      </c>
      <c r="B98" s="47" t="n">
        <f aca="false">$B$64</f>
        <v>18.4621457286432</v>
      </c>
    </row>
    <row r="99" customFormat="false" ht="15" hidden="false" customHeight="false" outlineLevel="0" collapsed="false">
      <c r="A99" s="10" t="s">
        <v>590</v>
      </c>
      <c r="B99" s="47" t="n">
        <f aca="false">0</f>
        <v>0</v>
      </c>
    </row>
    <row r="100" customFormat="false" ht="15" hidden="false" customHeight="false" outlineLevel="0" collapsed="false">
      <c r="A100" s="10" t="s">
        <v>591</v>
      </c>
      <c r="B100" s="47" t="n">
        <f aca="false">SUMPRODUCT($C$59:$F$59,$C$527:$F$527)</f>
        <v>0.928796132985167</v>
      </c>
    </row>
    <row r="101" customFormat="false" ht="15" hidden="false" customHeight="false" outlineLevel="0" collapsed="false">
      <c r="A101" s="13" t="s">
        <v>592</v>
      </c>
      <c r="B101" s="18" t="n">
        <f aca="false">$B$79+$B$97+$B$98+$B$99-$B$100</f>
        <v>-190.383750246521</v>
      </c>
    </row>
    <row r="102" customFormat="false" ht="15" hidden="false" customHeight="false" outlineLevel="0" collapsed="false">
      <c r="A102" s="10" t="s">
        <v>593</v>
      </c>
      <c r="B102" s="25" t="n">
        <f aca="false">Historicals!$B$50+Inputs!$B$15+Inputs!$B$16</f>
        <v>14.1934659057591</v>
      </c>
    </row>
    <row r="103" customFormat="false" ht="15" hidden="false" customHeight="false" outlineLevel="0" collapsed="false">
      <c r="A103" s="10" t="s">
        <v>594</v>
      </c>
      <c r="B103" s="32" t="n">
        <f aca="false">IFERROR(($B$101-$B$58*(1-Inputs!$B$70))/$B$102,0)</f>
        <v>-13.4134785337577</v>
      </c>
    </row>
    <row r="104" customFormat="false" ht="15" hidden="false" customHeight="false" outlineLevel="0" collapsed="false">
      <c r="A104" s="10" t="s">
        <v>595</v>
      </c>
      <c r="B104" s="25" t="n">
        <f aca="false">IF($B$103&gt;0,$B$58/($B$103*(1-Inputs!$B$71)),0)</f>
        <v>0</v>
      </c>
    </row>
    <row r="105" customFormat="false" ht="15" hidden="false" customHeight="false" outlineLevel="0" collapsed="false">
      <c r="A105" s="10" t="s">
        <v>596</v>
      </c>
      <c r="B105" s="32" t="n">
        <f aca="false">IFERROR($B$101/($B$102+$B$104),0)</f>
        <v>-13.4134785337577</v>
      </c>
    </row>
    <row r="106" customFormat="false" ht="15" hidden="false" customHeight="false" outlineLevel="0" collapsed="false">
      <c r="A106" s="10" t="s">
        <v>597</v>
      </c>
      <c r="B106" s="47" t="n">
        <f aca="false">SUMPRODUCT($C$58:$F$58,$C$527:$F$527)</f>
        <v>0</v>
      </c>
    </row>
    <row r="107" customFormat="false" ht="15" hidden="false" customHeight="false" outlineLevel="0" collapsed="false">
      <c r="A107" s="10" t="s">
        <v>598</v>
      </c>
      <c r="B107" s="25" t="n">
        <f aca="false">IF($B$105&gt;0,$B$104+$B$106/($B$105*(1-Inputs!$B$71)),0)</f>
        <v>0</v>
      </c>
    </row>
    <row r="108" customFormat="false" ht="15" hidden="false" customHeight="false" outlineLevel="0" collapsed="false">
      <c r="A108" s="13" t="s">
        <v>599</v>
      </c>
      <c r="B108" s="15" t="n">
        <f aca="false">IFERROR(($B$101+$B$106)/($B$102+$B$107),0)</f>
        <v>-13.4134785337577</v>
      </c>
    </row>
    <row r="109" customFormat="false" ht="15" hidden="false" customHeight="false" outlineLevel="0" collapsed="false">
      <c r="A109" s="10" t="s">
        <v>600</v>
      </c>
      <c r="B109" s="49" t="str">
        <f aca="false">IF($F$66&gt;Inputs!$B$72,"Not meaningful: funding need above limit",IF(OR($B$70&lt;=0,$B$75&lt;=0),"Not meaningful: 2030 profit or cash flow negative",IF(OR($B$74&lt;=0,$B$78&lt;=0),"Not meaningful: a method gives zero or negative value",IF($B$101&lt;=0,"Not meaningful: value at or below zero","OK"))))</f>
        <v>Not meaningful: 2030 profit or cash flow negative</v>
      </c>
    </row>
    <row r="110" customFormat="false" ht="15" hidden="false" customHeight="false" outlineLevel="0" collapsed="false">
      <c r="A110" s="13" t="s">
        <v>601</v>
      </c>
      <c r="B110" s="15" t="str">
        <f aca="false">IF($B$109="OK",$B$108,"unresolved")</f>
        <v>unresolved</v>
      </c>
    </row>
    <row r="111" customFormat="false" ht="15" hidden="false" customHeight="false" outlineLevel="0" collapsed="false">
      <c r="A111" s="10" t="s">
        <v>602</v>
      </c>
      <c r="B111" s="47" t="str">
        <f aca="false">IF(ISNUMBER($B$110),$B$110*$B$102,"unresolved")</f>
        <v>unresolved</v>
      </c>
    </row>
    <row r="112" customFormat="false" ht="15" hidden="false" customHeight="false" outlineLevel="0" collapsed="false">
      <c r="A112" s="10" t="s">
        <v>603</v>
      </c>
      <c r="B112" s="47" t="str">
        <f aca="false">IFERROR($B$101-$B$58*(1-Inputs!$B$70)-$B$111,"n/a")</f>
        <v>n/a</v>
      </c>
    </row>
    <row r="114" customFormat="false" ht="15" hidden="false" customHeight="false" outlineLevel="0" collapsed="false">
      <c r="A114" s="8" t="s">
        <v>604</v>
      </c>
      <c r="B114" s="9" t="s">
        <v>495</v>
      </c>
      <c r="C114" s="9" t="s">
        <v>496</v>
      </c>
      <c r="D114" s="9" t="s">
        <v>497</v>
      </c>
      <c r="E114" s="9" t="s">
        <v>498</v>
      </c>
      <c r="F114" s="9" t="s">
        <v>499</v>
      </c>
    </row>
    <row r="115" customFormat="false" ht="15" hidden="false" customHeight="false" outlineLevel="0" collapsed="false">
      <c r="A115" s="10" t="s">
        <v>605</v>
      </c>
      <c r="B115" s="47" t="n">
        <f aca="false">Historicals!$C$73+Inputs!$B$120</f>
        <v>77.31</v>
      </c>
      <c r="C115" s="47" t="n">
        <f aca="false">B115*(1+Inputs!$B$124)</f>
        <v>75.7638</v>
      </c>
      <c r="D115" s="47" t="n">
        <f aca="false">C115*(1+Inputs!$B$125)</f>
        <v>75.7638</v>
      </c>
      <c r="E115" s="47" t="n">
        <f aca="false">D115*(1+Inputs!$B$126)</f>
        <v>76.521438</v>
      </c>
      <c r="F115" s="47" t="n">
        <f aca="false">E115*(1+Inputs!$B$127)</f>
        <v>78.05186676</v>
      </c>
    </row>
    <row r="116" customFormat="false" ht="15" hidden="false" customHeight="false" outlineLevel="0" collapsed="false">
      <c r="A116" s="10" t="s">
        <v>606</v>
      </c>
      <c r="B116" s="47" t="n">
        <f aca="false">Historicals!$C$74+Inputs!$B$121</f>
        <v>11.328</v>
      </c>
      <c r="C116" s="47" t="n">
        <f aca="false">B116*(1+Inputs!$B$128)</f>
        <v>12.4608</v>
      </c>
      <c r="D116" s="47" t="n">
        <f aca="false">C116*(1+Inputs!$B$129)</f>
        <v>13.70688</v>
      </c>
      <c r="E116" s="47" t="n">
        <f aca="false">D116*(1+Inputs!$B$130)</f>
        <v>15.077568</v>
      </c>
      <c r="F116" s="47" t="n">
        <f aca="false">E116*(1+Inputs!$B$131)</f>
        <v>16.5853248</v>
      </c>
    </row>
    <row r="117" customFormat="false" ht="15" hidden="false" customHeight="false" outlineLevel="0" collapsed="false">
      <c r="A117" s="10" t="s">
        <v>607</v>
      </c>
      <c r="B117" s="47" t="n">
        <f aca="false">Historicals!$C$75+Inputs!$B$122</f>
        <v>17.631</v>
      </c>
      <c r="C117" s="47" t="n">
        <f aca="false">B117*(1+Inputs!$B$132)</f>
        <v>19.74672</v>
      </c>
      <c r="D117" s="47" t="n">
        <f aca="false">C117*(1+Inputs!$B$133)</f>
        <v>22.1163264</v>
      </c>
      <c r="E117" s="47" t="n">
        <f aca="false">D117*(1+Inputs!$B$134)</f>
        <v>24.770285568</v>
      </c>
      <c r="F117" s="47" t="n">
        <f aca="false">E117*(1+Inputs!$B$135)</f>
        <v>27.74271983616</v>
      </c>
    </row>
    <row r="118" customFormat="false" ht="15" hidden="false" customHeight="false" outlineLevel="0" collapsed="false">
      <c r="A118" s="10" t="s">
        <v>608</v>
      </c>
      <c r="B118" s="26" t="n">
        <v>0</v>
      </c>
      <c r="C118" s="47" t="n">
        <f aca="false">1*Inputs!$B$136</f>
        <v>0</v>
      </c>
      <c r="D118" s="47" t="n">
        <f aca="false">1*Inputs!$B$137</f>
        <v>0.5</v>
      </c>
      <c r="E118" s="47" t="n">
        <f aca="false">1*Inputs!$B$138</f>
        <v>1</v>
      </c>
      <c r="F118" s="47" t="n">
        <f aca="false">1*Inputs!$B$139</f>
        <v>2</v>
      </c>
    </row>
    <row r="119" customFormat="false" ht="15" hidden="false" customHeight="false" outlineLevel="0" collapsed="false">
      <c r="A119" s="13" t="s">
        <v>108</v>
      </c>
      <c r="B119" s="18" t="n">
        <f aca="false">B115+B116+B117+B118</f>
        <v>106.269</v>
      </c>
      <c r="C119" s="18" t="n">
        <f aca="false">C115+C116+C117+C118</f>
        <v>107.97132</v>
      </c>
      <c r="D119" s="18" t="n">
        <f aca="false">D115+D116+D117+D118</f>
        <v>112.0870064</v>
      </c>
      <c r="E119" s="18" t="n">
        <f aca="false">E115+E116+E117+E118</f>
        <v>117.369291568</v>
      </c>
      <c r="F119" s="18" t="n">
        <f aca="false">F115+F116+F117+F118</f>
        <v>124.37991139616</v>
      </c>
    </row>
    <row r="120" customFormat="false" ht="15" hidden="false" customHeight="false" outlineLevel="0" collapsed="false">
      <c r="A120" s="10" t="s">
        <v>501</v>
      </c>
      <c r="C120" s="19" t="n">
        <f aca="false">IFERROR(C119/B119-1,0)</f>
        <v>0.0160189707252352</v>
      </c>
      <c r="D120" s="19" t="n">
        <f aca="false">IFERROR(D119/C119-1,0)</f>
        <v>0.0381183299416918</v>
      </c>
      <c r="E120" s="19" t="n">
        <f aca="false">IFERROR(E119/D119-1,0)</f>
        <v>0.0471266504268064</v>
      </c>
      <c r="F120" s="19" t="n">
        <f aca="false">IFERROR(F119/E119-1,0)</f>
        <v>0.059731295422349</v>
      </c>
    </row>
    <row r="121" customFormat="false" ht="15" hidden="false" customHeight="false" outlineLevel="0" collapsed="false">
      <c r="A121" s="10" t="s">
        <v>609</v>
      </c>
      <c r="C121" s="47" t="n">
        <f aca="false">C115*(Inputs!$B$140+(Inputs!$B$141-Inputs!$B$140)*0/3)</f>
        <v>9.849294</v>
      </c>
      <c r="D121" s="47" t="n">
        <f aca="false">D115*(Inputs!$B$140+(Inputs!$B$141-Inputs!$B$140)*1/3)</f>
        <v>10.10184</v>
      </c>
      <c r="E121" s="47" t="n">
        <f aca="false">E115*(Inputs!$B$140+(Inputs!$B$141-Inputs!$B$140)*2/3)</f>
        <v>10.45792986</v>
      </c>
      <c r="F121" s="47" t="n">
        <f aca="false">F115*(Inputs!$B$140+(Inputs!$B$141-Inputs!$B$140)*3/3)</f>
        <v>10.9272613464</v>
      </c>
    </row>
    <row r="122" customFormat="false" ht="15" hidden="false" customHeight="false" outlineLevel="0" collapsed="false">
      <c r="A122" s="10" t="s">
        <v>610</v>
      </c>
      <c r="C122" s="47" t="n">
        <f aca="false">C116*(Inputs!$B$142+(Inputs!$B$143-Inputs!$B$142)*0/3)</f>
        <v>3.239808</v>
      </c>
      <c r="D122" s="47" t="n">
        <f aca="false">D116*(Inputs!$B$142+(Inputs!$B$143-Inputs!$B$142)*1/3)</f>
        <v>3.5637888</v>
      </c>
      <c r="E122" s="47" t="n">
        <f aca="false">E116*(Inputs!$B$142+(Inputs!$B$143-Inputs!$B$142)*2/3)</f>
        <v>3.92016768</v>
      </c>
      <c r="F122" s="47" t="n">
        <f aca="false">F116*(Inputs!$B$142+(Inputs!$B$143-Inputs!$B$142)*3/3)</f>
        <v>4.312184448</v>
      </c>
    </row>
    <row r="123" customFormat="false" ht="15" hidden="false" customHeight="false" outlineLevel="0" collapsed="false">
      <c r="A123" s="10" t="s">
        <v>611</v>
      </c>
      <c r="C123" s="47" t="n">
        <f aca="false">C117*(Inputs!$B$144+(Inputs!$B$145-Inputs!$B$144)*0/3)</f>
        <v>3.7518768</v>
      </c>
      <c r="D123" s="47" t="n">
        <f aca="false">D117*(Inputs!$B$144+(Inputs!$B$145-Inputs!$B$144)*1/3)</f>
        <v>4.202102016</v>
      </c>
      <c r="E123" s="47" t="n">
        <f aca="false">E117*(Inputs!$B$144+(Inputs!$B$145-Inputs!$B$144)*2/3)</f>
        <v>4.70635425792</v>
      </c>
      <c r="F123" s="47" t="n">
        <f aca="false">F117*(Inputs!$B$144+(Inputs!$B$145-Inputs!$B$144)*3/3)</f>
        <v>5.2711167688704</v>
      </c>
    </row>
    <row r="124" customFormat="false" ht="15" hidden="false" customHeight="false" outlineLevel="0" collapsed="false">
      <c r="A124" s="10" t="s">
        <v>612</v>
      </c>
      <c r="C124" s="47" t="n">
        <f aca="false">C118*(Inputs!$B$146+(Inputs!$B$147-Inputs!$B$146)*0/3)</f>
        <v>-0</v>
      </c>
      <c r="D124" s="47" t="n">
        <f aca="false">D118*(Inputs!$B$146+(Inputs!$B$147-Inputs!$B$146)*1/3)</f>
        <v>-0.095</v>
      </c>
      <c r="E124" s="47" t="n">
        <f aca="false">E118*(Inputs!$B$146+(Inputs!$B$147-Inputs!$B$146)*2/3)</f>
        <v>0.00999999999999995</v>
      </c>
      <c r="F124" s="47" t="n">
        <f aca="false">F118*(Inputs!$B$146+(Inputs!$B$147-Inputs!$B$146)*3/3)</f>
        <v>0.42</v>
      </c>
    </row>
    <row r="125" customFormat="false" ht="15" hidden="false" customHeight="false" outlineLevel="0" collapsed="false">
      <c r="A125" s="10" t="s">
        <v>505</v>
      </c>
      <c r="C125" s="47" t="n">
        <f aca="false">C121+C122+C123+C124</f>
        <v>16.8409788</v>
      </c>
      <c r="D125" s="47" t="n">
        <f aca="false">D121+D122+D123+D124</f>
        <v>17.772730816</v>
      </c>
      <c r="E125" s="47" t="n">
        <f aca="false">E121+E122+E123+E124</f>
        <v>19.09445179792</v>
      </c>
      <c r="F125" s="47" t="n">
        <f aca="false">F121+F122+F123+F124</f>
        <v>20.9305625632704</v>
      </c>
    </row>
    <row r="126" customFormat="false" ht="15" hidden="false" customHeight="false" outlineLevel="0" collapsed="false">
      <c r="A126" s="10" t="s">
        <v>613</v>
      </c>
      <c r="B126" s="47" t="n">
        <f aca="false">(Inputs!$B$120+Inputs!$B$121+Inputs!$B$122)*Inputs!$B$148</f>
        <v>1.104</v>
      </c>
      <c r="C126" s="47" t="n">
        <f aca="false">C119*Inputs!$B$148</f>
        <v>4.3188528</v>
      </c>
      <c r="D126" s="47" t="n">
        <f aca="false">D119*Inputs!$B$148</f>
        <v>4.483480256</v>
      </c>
      <c r="E126" s="47" t="n">
        <f aca="false">E119*Inputs!$B$148</f>
        <v>4.69477166272</v>
      </c>
      <c r="F126" s="47" t="n">
        <f aca="false">F119*Inputs!$B$148</f>
        <v>4.9751964558464</v>
      </c>
    </row>
    <row r="127" customFormat="false" ht="15" hidden="false" customHeight="false" outlineLevel="0" collapsed="false">
      <c r="A127" s="10" t="s">
        <v>614</v>
      </c>
      <c r="B127" s="26" t="n">
        <v>0</v>
      </c>
      <c r="C127" s="26" t="n">
        <v>0</v>
      </c>
      <c r="D127" s="26" t="n">
        <v>0</v>
      </c>
      <c r="E127" s="26" t="n">
        <v>0</v>
      </c>
      <c r="F127" s="26" t="n">
        <v>0</v>
      </c>
    </row>
    <row r="128" customFormat="false" ht="15" hidden="false" customHeight="false" outlineLevel="0" collapsed="false">
      <c r="A128" s="10" t="s">
        <v>615</v>
      </c>
      <c r="B128" s="47" t="n">
        <f aca="false">Historicals!$C$76+Inputs!$B$53/4</f>
        <v>6.748</v>
      </c>
      <c r="C128" s="47" t="n">
        <f aca="false">Inputs!$B$53*MAX(0,MIN(1,(Inputs!$B$57-1+0.5)/Inputs!$B$57))+$B132*IF(1&lt;=Inputs!$B$49,1,0)/Inputs!$B$49+C131*0.5/Inputs!$B$49</f>
        <v>8.27359401666667</v>
      </c>
      <c r="D128" s="47" t="n">
        <f aca="false">Inputs!$B$53*MAX(0,MIN(1,(Inputs!$B$57-2+0.5)/Inputs!$B$57))+$B132*IF(2&lt;=Inputs!$B$49,1,0)/Inputs!$B$49+C131*IF(1&lt;=Inputs!$B$49-1,1,IF(1=Inputs!$B$49,0.5,0))/Inputs!$B$49+D131*0.5/Inputs!$B$49</f>
        <v>9.50782622366667</v>
      </c>
      <c r="E128" s="47" t="n">
        <f aca="false">Inputs!$B$53*MAX(0,MIN(1,(Inputs!$B$57-3+0.5)/Inputs!$B$57))+$B132*IF(3&lt;=Inputs!$B$49,1,0)/Inputs!$B$49+C131*IF(2&lt;=Inputs!$B$49-1,1,IF(2=Inputs!$B$49,0.5,0))/Inputs!$B$49+D131*IF(1&lt;=Inputs!$B$49-1,1,IF(1=Inputs!$B$49,0.5,0))/Inputs!$B$49+E131*0.5/Inputs!$B$49</f>
        <v>10.6032662533733</v>
      </c>
      <c r="F128" s="47" t="n">
        <f aca="false">Inputs!$B$53*MAX(0,MIN(1,(Inputs!$B$57-4+0.5)/Inputs!$B$57))+$B132*IF(4&lt;=Inputs!$B$49,1,0)/Inputs!$B$49+C131*IF(3&lt;=Inputs!$B$49-1,1,IF(3=Inputs!$B$49,0.5,0))/Inputs!$B$49+D131*IF(2&lt;=Inputs!$B$49-1,1,IF(2=Inputs!$B$49,0.5,0))/Inputs!$B$49+E131*IF(1&lt;=Inputs!$B$49-1,1,IF(1=Inputs!$B$49,0.5,0))/Inputs!$B$49+F131*0.5/Inputs!$B$49</f>
        <v>11.5650715395071</v>
      </c>
    </row>
    <row r="129" customFormat="false" ht="15" hidden="false" customHeight="false" outlineLevel="0" collapsed="false">
      <c r="A129" s="13" t="s">
        <v>513</v>
      </c>
      <c r="B129" s="18" t="n">
        <f aca="false">Historicals!$C$72+(Inputs!$B$120+Inputs!$B$121+Inputs!$B$122)*Inputs!$B$123</f>
        <v>2.471</v>
      </c>
      <c r="C129" s="18" t="n">
        <f aca="false">C125-C126-C128</f>
        <v>4.24853198333333</v>
      </c>
      <c r="D129" s="18" t="n">
        <f aca="false">D125-D126-D128</f>
        <v>3.78142433633334</v>
      </c>
      <c r="E129" s="18" t="n">
        <f aca="false">E125-E126-E128</f>
        <v>3.79641388182667</v>
      </c>
      <c r="F129" s="18" t="n">
        <f aca="false">F125-F126-F128</f>
        <v>4.39029456791687</v>
      </c>
    </row>
    <row r="130" customFormat="false" ht="15" hidden="false" customHeight="false" outlineLevel="0" collapsed="false">
      <c r="A130" s="10" t="s">
        <v>514</v>
      </c>
      <c r="B130" s="19" t="n">
        <f aca="false">IFERROR(B129/B119,0)</f>
        <v>0.0232523125276421</v>
      </c>
      <c r="C130" s="19" t="n">
        <f aca="false">IFERROR(C129/C119,0)</f>
        <v>0.0393487083730507</v>
      </c>
      <c r="D130" s="19" t="n">
        <f aca="false">IFERROR(D129/D119,0)</f>
        <v>0.0337365093223985</v>
      </c>
      <c r="E130" s="19" t="n">
        <f aca="false">IFERROR(E129/E119,0)</f>
        <v>0.0323458873365283</v>
      </c>
      <c r="F130" s="19" t="n">
        <f aca="false">IFERROR(F129/F119,0)</f>
        <v>0.0352974569497274</v>
      </c>
    </row>
    <row r="131" customFormat="false" ht="15" hidden="false" customHeight="false" outlineLevel="0" collapsed="false">
      <c r="A131" s="10" t="s">
        <v>616</v>
      </c>
      <c r="B131" s="47" t="n">
        <f aca="false">Inputs!$B$58</f>
        <v>20</v>
      </c>
      <c r="C131" s="47" t="n">
        <f aca="false">C119*(Inputs!$B$149+(Inputs!$B$150-Inputs!$B$149)*0/3)</f>
        <v>19.4348376</v>
      </c>
      <c r="D131" s="47" t="n">
        <f aca="false">D119*(Inputs!$B$149+(Inputs!$B$150-Inputs!$B$149)*1/3)</f>
        <v>18.3075443786667</v>
      </c>
      <c r="E131" s="47" t="n">
        <f aca="false">E119*(Inputs!$B$149+(Inputs!$B$150-Inputs!$B$149)*2/3)</f>
        <v>17.2141627633067</v>
      </c>
      <c r="F131" s="47" t="n">
        <f aca="false">F119*(Inputs!$B$149+(Inputs!$B$150-Inputs!$B$149)*3/3)</f>
        <v>16.1693884815008</v>
      </c>
    </row>
    <row r="132" customFormat="false" ht="15" hidden="false" customHeight="false" outlineLevel="0" collapsed="false">
      <c r="A132" s="10" t="s">
        <v>617</v>
      </c>
      <c r="B132" s="47" t="n">
        <f aca="false">Inputs!$B$58-Historicals!$C$78</f>
        <v>6.986</v>
      </c>
    </row>
    <row r="133" customFormat="false" ht="15" hidden="false" customHeight="false" outlineLevel="0" collapsed="false">
      <c r="A133" s="10" t="s">
        <v>618</v>
      </c>
      <c r="C133" s="48" t="n">
        <f aca="false">IFERROR(C131/C128,0)</f>
        <v>2.34901997376831</v>
      </c>
      <c r="D133" s="48" t="n">
        <f aca="false">IFERROR(D131/D128,0)</f>
        <v>1.92552366313721</v>
      </c>
      <c r="E133" s="48" t="n">
        <f aca="false">IFERROR(E131/E128,0)</f>
        <v>1.62347736555518</v>
      </c>
      <c r="F133" s="48" t="n">
        <f aca="false">IFERROR(F131/F128,0)</f>
        <v>1.3981226511453</v>
      </c>
    </row>
    <row r="134" customFormat="false" ht="15" hidden="false" customHeight="false" outlineLevel="0" collapsed="false">
      <c r="A134" s="10" t="s">
        <v>523</v>
      </c>
      <c r="B134" s="47" t="n">
        <f aca="false">B129-Inputs!$B$38*B131+Inputs!$B$38*B128</f>
        <v>-5.4802</v>
      </c>
      <c r="C134" s="47" t="n">
        <f aca="false">C129-Inputs!$B$38*C131+Inputs!$B$38*C128</f>
        <v>-2.44821416666667</v>
      </c>
      <c r="D134" s="47" t="n">
        <f aca="false">D129-Inputs!$B$38*D131+Inputs!$B$38*D128</f>
        <v>-1.49840655666666</v>
      </c>
      <c r="E134" s="47" t="n">
        <f aca="false">E129-Inputs!$B$38*E131+Inputs!$B$38*E128</f>
        <v>-0.17012402413333</v>
      </c>
      <c r="F134" s="47" t="n">
        <f aca="false">F129-Inputs!$B$38*F131+Inputs!$B$38*F128</f>
        <v>1.62770440272067</v>
      </c>
    </row>
    <row r="135" customFormat="false" ht="15" hidden="false" customHeight="false" outlineLevel="0" collapsed="false">
      <c r="A135" s="10" t="s">
        <v>524</v>
      </c>
      <c r="B135" s="47" t="n">
        <f aca="false">MIN(0,MAX(0,B134),1E+099)</f>
        <v>0</v>
      </c>
      <c r="C135" s="47" t="n">
        <f aca="false">MIN(B137,MAX(0,C134),1E+099)</f>
        <v>0</v>
      </c>
      <c r="D135" s="47" t="n">
        <f aca="false">MIN(C137,MAX(0,D134),1E+099)</f>
        <v>0</v>
      </c>
      <c r="E135" s="47" t="n">
        <f aca="false">MIN(D137,MAX(0,E134),1E+099)</f>
        <v>0</v>
      </c>
      <c r="F135" s="47" t="n">
        <f aca="false">MIN(E137,MAX(0,F134),1E+099)</f>
        <v>1.62770440272067</v>
      </c>
    </row>
    <row r="136" customFormat="false" ht="15" hidden="false" customHeight="false" outlineLevel="0" collapsed="false">
      <c r="A136" s="10" t="s">
        <v>525</v>
      </c>
      <c r="B136" s="47" t="n">
        <f aca="false">MIN(0,MAX(0,B134)-B135)</f>
        <v>0</v>
      </c>
      <c r="C136" s="47" t="n">
        <f aca="false">MIN(B138,MAX(0,C134)-C135)</f>
        <v>0</v>
      </c>
      <c r="D136" s="47" t="n">
        <f aca="false">MIN(C138,MAX(0,D134)-D135)</f>
        <v>0</v>
      </c>
      <c r="E136" s="47" t="n">
        <f aca="false">MIN(D138,MAX(0,E134)-E135)</f>
        <v>0</v>
      </c>
      <c r="F136" s="47" t="n">
        <f aca="false">MIN(E138,MAX(0,F134)-F135)</f>
        <v>0</v>
      </c>
    </row>
    <row r="137" customFormat="false" ht="15" hidden="false" customHeight="false" outlineLevel="0" collapsed="false">
      <c r="A137" s="10" t="s">
        <v>526</v>
      </c>
      <c r="B137" s="47" t="n">
        <f aca="false">0-B135+MAX(0,-B134)</f>
        <v>5.4802</v>
      </c>
      <c r="C137" s="47" t="n">
        <f aca="false">B137-C135</f>
        <v>5.4802</v>
      </c>
      <c r="D137" s="47" t="n">
        <f aca="false">C137-D135</f>
        <v>5.4802</v>
      </c>
      <c r="E137" s="47" t="n">
        <f aca="false">D137-E135</f>
        <v>5.4802</v>
      </c>
      <c r="F137" s="47" t="n">
        <f aca="false">E137-F135</f>
        <v>3.85249559727933</v>
      </c>
    </row>
    <row r="138" customFormat="false" ht="15" hidden="false" customHeight="false" outlineLevel="0" collapsed="false">
      <c r="A138" s="10" t="s">
        <v>527</v>
      </c>
      <c r="B138" s="26" t="n">
        <v>0</v>
      </c>
      <c r="C138" s="47" t="n">
        <f aca="false">B138-C136+MAX(0,-C134)</f>
        <v>2.44821416666667</v>
      </c>
      <c r="D138" s="47" t="n">
        <f aca="false">C138-D136+MAX(0,-D134)</f>
        <v>3.94662072333333</v>
      </c>
      <c r="E138" s="47" t="n">
        <f aca="false">D138-E136+MAX(0,-E134)</f>
        <v>4.11674474746666</v>
      </c>
      <c r="F138" s="47" t="n">
        <f aca="false">E138-F136+MAX(0,-F134)</f>
        <v>4.11674474746666</v>
      </c>
    </row>
    <row r="139" customFormat="false" ht="15" hidden="false" customHeight="false" outlineLevel="0" collapsed="false">
      <c r="A139" s="10" t="s">
        <v>528</v>
      </c>
      <c r="B139" s="47" t="n">
        <f aca="false">MAX(0,B134-B135-B136)*Inputs!$B$34</f>
        <v>0</v>
      </c>
      <c r="C139" s="47" t="n">
        <f aca="false">MAX(0,C134-C135-C136)*Inputs!$B$34</f>
        <v>0</v>
      </c>
      <c r="D139" s="47" t="n">
        <f aca="false">MAX(0,D134-D135-D136)*Inputs!$B$34</f>
        <v>0</v>
      </c>
      <c r="E139" s="47" t="n">
        <f aca="false">MAX(0,E134-E135-E136)*Inputs!$B$34</f>
        <v>0</v>
      </c>
      <c r="F139" s="47" t="n">
        <f aca="false">MAX(0,F134-F135-F136)*Inputs!$B$34</f>
        <v>0</v>
      </c>
    </row>
    <row r="140" customFormat="false" ht="15" hidden="false" customHeight="false" outlineLevel="0" collapsed="false">
      <c r="A140" s="10" t="s">
        <v>529</v>
      </c>
      <c r="B140" s="47" t="n">
        <f aca="false">B134-B139</f>
        <v>-5.4802</v>
      </c>
      <c r="C140" s="47" t="n">
        <f aca="false">C134-C139</f>
        <v>-2.44821416666667</v>
      </c>
      <c r="D140" s="47" t="n">
        <f aca="false">D134-D139</f>
        <v>-1.49840655666666</v>
      </c>
      <c r="E140" s="47" t="n">
        <f aca="false">E134-E139</f>
        <v>-0.17012402413333</v>
      </c>
      <c r="F140" s="47" t="n">
        <f aca="false">F134-F139</f>
        <v>1.62770440272067</v>
      </c>
    </row>
    <row r="141" customFormat="false" ht="15" hidden="false" customHeight="false" outlineLevel="0" collapsed="false">
      <c r="A141" s="10" t="s">
        <v>530</v>
      </c>
      <c r="B141" s="47" t="n">
        <f aca="false">MIN(Inputs!$B$39,Inputs!$B$35*MAX(0,B140),1E+099)</f>
        <v>0</v>
      </c>
      <c r="C141" s="47" t="n">
        <f aca="false">MIN(B143,Inputs!$B$35*MAX(0,C140),1E+099)</f>
        <v>0</v>
      </c>
      <c r="D141" s="47" t="n">
        <f aca="false">MIN(C143,Inputs!$B$35*MAX(0,D140),1E+099)</f>
        <v>0</v>
      </c>
      <c r="E141" s="47" t="n">
        <f aca="false">MIN(D143,Inputs!$B$35*MAX(0,E140),1E+099)</f>
        <v>0</v>
      </c>
      <c r="F141" s="47" t="n">
        <f aca="false">MIN(E143,Inputs!$B$35*MAX(0,F140),1E+099)</f>
        <v>1.30216352217654</v>
      </c>
    </row>
    <row r="142" customFormat="false" ht="15" hidden="false" customHeight="false" outlineLevel="0" collapsed="false">
      <c r="A142" s="10" t="s">
        <v>531</v>
      </c>
      <c r="B142" s="47" t="n">
        <f aca="false">MIN(0,Inputs!$B$35*MAX(0,B140)-B141)</f>
        <v>0</v>
      </c>
      <c r="C142" s="47" t="n">
        <f aca="false">MIN(B144,Inputs!$B$35*MAX(0,C140)-C141)</f>
        <v>0</v>
      </c>
      <c r="D142" s="47" t="n">
        <f aca="false">MIN(C144,Inputs!$B$35*MAX(0,D140)-D141)</f>
        <v>0</v>
      </c>
      <c r="E142" s="47" t="n">
        <f aca="false">MIN(D144,Inputs!$B$35*MAX(0,E140)-E141)</f>
        <v>0</v>
      </c>
      <c r="F142" s="47" t="n">
        <f aca="false">MIN(E144,Inputs!$B$35*MAX(0,F140)-F141)</f>
        <v>0</v>
      </c>
    </row>
    <row r="143" customFormat="false" ht="15" hidden="false" customHeight="false" outlineLevel="0" collapsed="false">
      <c r="A143" s="10" t="s">
        <v>532</v>
      </c>
      <c r="B143" s="47" t="n">
        <f aca="false">Inputs!$B$39-B141+MAX(0,-B140)</f>
        <v>5.4802</v>
      </c>
      <c r="C143" s="47" t="n">
        <f aca="false">B143-C141</f>
        <v>5.4802</v>
      </c>
      <c r="D143" s="47" t="n">
        <f aca="false">C143-D141</f>
        <v>5.4802</v>
      </c>
      <c r="E143" s="47" t="n">
        <f aca="false">D143-E141</f>
        <v>5.4802</v>
      </c>
      <c r="F143" s="47" t="n">
        <f aca="false">E143-F141</f>
        <v>4.17803647782346</v>
      </c>
    </row>
    <row r="144" customFormat="false" ht="15" hidden="false" customHeight="false" outlineLevel="0" collapsed="false">
      <c r="A144" s="10" t="s">
        <v>533</v>
      </c>
      <c r="B144" s="26" t="n">
        <v>0</v>
      </c>
      <c r="C144" s="47" t="n">
        <f aca="false">B144-C142+MAX(0,-C140)</f>
        <v>2.44821416666667</v>
      </c>
      <c r="D144" s="47" t="n">
        <f aca="false">C144-D142+MAX(0,-D140)</f>
        <v>3.94662072333333</v>
      </c>
      <c r="E144" s="47" t="n">
        <f aca="false">D144-E142+MAX(0,-E140)</f>
        <v>4.11674474746666</v>
      </c>
      <c r="F144" s="47" t="n">
        <f aca="false">E144-F142+MAX(0,-F140)</f>
        <v>4.11674474746666</v>
      </c>
    </row>
    <row r="145" customFormat="false" ht="15" hidden="false" customHeight="false" outlineLevel="0" collapsed="false">
      <c r="A145" s="10" t="s">
        <v>534</v>
      </c>
      <c r="B145" s="47" t="n">
        <f aca="false">MAX(0,B140-B141-B142)*Inputs!$B$33</f>
        <v>0</v>
      </c>
      <c r="C145" s="47" t="n">
        <f aca="false">MAX(0,C140-C141-C142)*Inputs!$B$33</f>
        <v>0</v>
      </c>
      <c r="D145" s="47" t="n">
        <f aca="false">MAX(0,D140-D141-D142)*Inputs!$B$33</f>
        <v>0</v>
      </c>
      <c r="E145" s="47" t="n">
        <f aca="false">MAX(0,E140-E141-E142)*Inputs!$B$33</f>
        <v>0</v>
      </c>
      <c r="F145" s="47" t="n">
        <f aca="false">MAX(0,F140-F141-F142)*Inputs!$B$33</f>
        <v>0.0683635849142681</v>
      </c>
    </row>
    <row r="146" customFormat="false" ht="15" hidden="false" customHeight="false" outlineLevel="0" collapsed="false">
      <c r="A146" s="10" t="s">
        <v>535</v>
      </c>
      <c r="B146" s="47" t="n">
        <f aca="false">MIN(0,B145,MAX(0,1E+099-B141)*Inputs!$B$33)</f>
        <v>0</v>
      </c>
      <c r="C146" s="47" t="n">
        <f aca="false">MIN(B147,C145,MAX(0,1E+099-C141)*Inputs!$B$33)</f>
        <v>0</v>
      </c>
      <c r="D146" s="47" t="n">
        <f aca="false">MIN(C147,D145,MAX(0,1E+099-D141)*Inputs!$B$33)</f>
        <v>0</v>
      </c>
      <c r="E146" s="47" t="n">
        <f aca="false">MIN(D147,E145,MAX(0,1E+099-E141)*Inputs!$B$33)</f>
        <v>0</v>
      </c>
      <c r="F146" s="47" t="n">
        <f aca="false">MIN(E147,F145,MAX(0,1E+099-F141)*Inputs!$B$33)</f>
        <v>0</v>
      </c>
    </row>
    <row r="147" customFormat="false" ht="15" hidden="false" customHeight="false" outlineLevel="0" collapsed="false">
      <c r="A147" s="10" t="s">
        <v>536</v>
      </c>
      <c r="B147" s="47" t="n">
        <f aca="false">0-B146</f>
        <v>0</v>
      </c>
      <c r="C147" s="47" t="n">
        <f aca="false">B147-C146</f>
        <v>0</v>
      </c>
      <c r="D147" s="47" t="n">
        <f aca="false">C147-D146</f>
        <v>0</v>
      </c>
      <c r="E147" s="47" t="n">
        <f aca="false">D147-E146</f>
        <v>0</v>
      </c>
      <c r="F147" s="47" t="n">
        <f aca="false">E147-F146</f>
        <v>0</v>
      </c>
    </row>
    <row r="148" customFormat="false" ht="15" hidden="false" customHeight="false" outlineLevel="0" collapsed="false">
      <c r="A148" s="13" t="s">
        <v>537</v>
      </c>
      <c r="B148" s="18" t="n">
        <f aca="false">MAX(0,(Inputs!$B$120+Inputs!$B$121+Inputs!$B$122)*Inputs!$B$123)*Inputs!$B$41</f>
        <v>0.0621</v>
      </c>
      <c r="C148" s="18" t="n">
        <f aca="false">C145-C146+C139</f>
        <v>0</v>
      </c>
      <c r="D148" s="18" t="n">
        <f aca="false">D145-D146+D139</f>
        <v>0</v>
      </c>
      <c r="E148" s="18" t="n">
        <f aca="false">E145-E146+E139</f>
        <v>0</v>
      </c>
      <c r="F148" s="18" t="n">
        <f aca="false">F145-F146+F139</f>
        <v>0.0683635849142681</v>
      </c>
    </row>
    <row r="149" customFormat="false" ht="15" hidden="false" customHeight="false" outlineLevel="0" collapsed="false">
      <c r="A149" s="10" t="s">
        <v>538</v>
      </c>
      <c r="B149" s="47" t="n">
        <f aca="false">0+Inputs!$B$38*(B131-B128)</f>
        <v>7.9512</v>
      </c>
      <c r="C149" s="47" t="n">
        <f aca="false">B149+Inputs!$B$38*(C131-C128)</f>
        <v>14.64794615</v>
      </c>
      <c r="D149" s="47" t="n">
        <f aca="false">C149+Inputs!$B$38*(D131-D128)</f>
        <v>19.927777043</v>
      </c>
      <c r="E149" s="47" t="n">
        <f aca="false">D149+Inputs!$B$38*(E131-E128)</f>
        <v>23.89431494896</v>
      </c>
      <c r="F149" s="47" t="n">
        <f aca="false">E149+Inputs!$B$38*(F131-F128)</f>
        <v>26.6569051141562</v>
      </c>
    </row>
    <row r="150" customFormat="false" ht="15" hidden="false" customHeight="false" outlineLevel="0" collapsed="false">
      <c r="A150" s="10" t="s">
        <v>539</v>
      </c>
      <c r="B150" s="47" t="n">
        <f aca="false">B149*Inputs!$B$79</f>
        <v>1.92100992</v>
      </c>
      <c r="C150" s="47" t="n">
        <f aca="false">C149*Inputs!$B$79</f>
        <v>3.53894378984</v>
      </c>
      <c r="D150" s="47" t="n">
        <f aca="false">D149*Inputs!$B$79</f>
        <v>4.8145509335888</v>
      </c>
      <c r="E150" s="47" t="n">
        <f aca="false">E149*Inputs!$B$79</f>
        <v>5.77286649166874</v>
      </c>
      <c r="F150" s="47" t="n">
        <f aca="false">F149*Inputs!$B$79</f>
        <v>6.44030827558014</v>
      </c>
    </row>
    <row r="151" customFormat="false" ht="15" hidden="false" customHeight="false" outlineLevel="0" collapsed="false">
      <c r="A151" s="10" t="s">
        <v>540</v>
      </c>
      <c r="C151" s="47" t="n">
        <f aca="false">C129-C148</f>
        <v>4.24853198333333</v>
      </c>
      <c r="D151" s="47" t="n">
        <f aca="false">D129-D148</f>
        <v>3.78142433633334</v>
      </c>
      <c r="E151" s="47" t="n">
        <f aca="false">E129-E148</f>
        <v>3.79641388182667</v>
      </c>
      <c r="F151" s="47" t="n">
        <f aca="false">F129-F148</f>
        <v>4.3219309830026</v>
      </c>
    </row>
    <row r="152" customFormat="false" ht="15" hidden="false" customHeight="false" outlineLevel="0" collapsed="false">
      <c r="A152" s="10" t="s">
        <v>541</v>
      </c>
      <c r="C152" s="47" t="n">
        <f aca="false">Inputs!$B$65*(C119-B119)</f>
        <v>0</v>
      </c>
      <c r="D152" s="47" t="n">
        <f aca="false">Inputs!$B$65*(D119-C119)</f>
        <v>0</v>
      </c>
      <c r="E152" s="47" t="n">
        <f aca="false">Inputs!$B$65*(E119-D119)</f>
        <v>0</v>
      </c>
      <c r="F152" s="47" t="n">
        <f aca="false">Inputs!$B$65*(F119-E119)</f>
        <v>0</v>
      </c>
    </row>
    <row r="153" customFormat="false" ht="15" hidden="false" customHeight="false" outlineLevel="0" collapsed="false">
      <c r="A153" s="13" t="s">
        <v>542</v>
      </c>
      <c r="B153" s="18" t="n">
        <f aca="false">B154-B126</f>
        <v>-4.9471</v>
      </c>
      <c r="C153" s="18" t="n">
        <f aca="false">C129+C128-C148-C131-C152</f>
        <v>-6.9127116</v>
      </c>
      <c r="D153" s="18" t="n">
        <f aca="false">D129+D128-D148-D131-D152</f>
        <v>-5.01829381866666</v>
      </c>
      <c r="E153" s="18" t="n">
        <f aca="false">E129+E128-E148-E131-E152</f>
        <v>-2.81448262810666</v>
      </c>
      <c r="F153" s="18" t="n">
        <f aca="false">F129+F128-F148-F131-F152</f>
        <v>-0.282385958991066</v>
      </c>
    </row>
    <row r="154" customFormat="false" ht="15" hidden="false" customHeight="false" outlineLevel="0" collapsed="false">
      <c r="A154" s="10" t="s">
        <v>543</v>
      </c>
      <c r="B154" s="47" t="n">
        <f aca="false">(Inputs!$B$120+Inputs!$B$121+Inputs!$B$122)*Inputs!$B$123+Inputs!$B$53/4+B126-B148-B132</f>
        <v>-3.8431</v>
      </c>
      <c r="C154" s="47" t="n">
        <f aca="false">C153+C126+C127</f>
        <v>-2.5938588</v>
      </c>
      <c r="D154" s="47" t="n">
        <f aca="false">D153+D126+D127</f>
        <v>-0.53481356266666</v>
      </c>
      <c r="E154" s="47" t="n">
        <f aca="false">E153+E126+E127</f>
        <v>1.88028903461334</v>
      </c>
      <c r="F154" s="47" t="n">
        <f aca="false">F153+F126+F127</f>
        <v>4.69281049685534</v>
      </c>
    </row>
    <row r="155" customFormat="false" ht="15" hidden="false" customHeight="false" outlineLevel="0" collapsed="false">
      <c r="A155" s="10" t="s">
        <v>544</v>
      </c>
      <c r="B155" s="47" t="n">
        <f aca="false">Historicals!$B$87</f>
        <v>45.447</v>
      </c>
      <c r="C155" s="47" t="n">
        <f aca="false">B166</f>
        <v>41.8977788944724</v>
      </c>
      <c r="D155" s="47" t="n">
        <f aca="false">C166</f>
        <v>40.3780568085325</v>
      </c>
      <c r="E155" s="47" t="n">
        <f aca="false">D166</f>
        <v>40.8973718184046</v>
      </c>
      <c r="F155" s="47" t="n">
        <f aca="false">E166</f>
        <v>43.9022737646796</v>
      </c>
    </row>
    <row r="156" customFormat="false" ht="15" hidden="false" customHeight="false" outlineLevel="0" collapsed="false">
      <c r="A156" s="10" t="s">
        <v>545</v>
      </c>
      <c r="B156" s="47" t="n">
        <f aca="false">Historicals!$B$88</f>
        <v>9.523</v>
      </c>
      <c r="C156" s="47" t="n">
        <f aca="false">B167</f>
        <v>9.523</v>
      </c>
      <c r="D156" s="47" t="n">
        <f aca="false">C167</f>
        <v>9.523</v>
      </c>
      <c r="E156" s="47" t="n">
        <f aca="false">D167</f>
        <v>9.523</v>
      </c>
      <c r="F156" s="47" t="n">
        <f aca="false">E167</f>
        <v>9.523</v>
      </c>
    </row>
    <row r="157" customFormat="false" ht="15" hidden="false" customHeight="false" outlineLevel="0" collapsed="false">
      <c r="A157" s="10" t="s">
        <v>546</v>
      </c>
      <c r="B157" s="26" t="n">
        <v>0</v>
      </c>
      <c r="C157" s="47" t="n">
        <f aca="false">Inputs!$B$63</f>
        <v>0</v>
      </c>
      <c r="D157" s="26" t="n">
        <v>0</v>
      </c>
      <c r="E157" s="26" t="n">
        <v>0</v>
      </c>
      <c r="F157" s="26" t="n">
        <v>0</v>
      </c>
    </row>
    <row r="158" customFormat="false" ht="15" hidden="false" customHeight="false" outlineLevel="0" collapsed="false">
      <c r="A158" s="10" t="s">
        <v>547</v>
      </c>
      <c r="B158" s="47" t="n">
        <f aca="false">(B155+B154-B157+Inputs!$B$60/4*B155/2-Inputs!$B$61/4*(B156-B157/2))/(1-Inputs!$B$60/4/2)</f>
        <v>41.8977788944724</v>
      </c>
      <c r="C158" s="47" t="n">
        <f aca="false">(C155+C154-C157+Inputs!$B$60*C155/2-Inputs!$B$61*(C156-C157/2))/(1-Inputs!$B$60/2)</f>
        <v>40.3780568085325</v>
      </c>
      <c r="D158" s="47" t="n">
        <f aca="false">(D155+D154-D157+Inputs!$B$60*D155/2-Inputs!$B$61*(D156-D157/2))/(1-Inputs!$B$60/2)</f>
        <v>40.8973718184046</v>
      </c>
      <c r="E158" s="47" t="n">
        <f aca="false">(E155+E154-E157+Inputs!$B$60*E155/2-Inputs!$B$61*(E156-E157/2))/(1-Inputs!$B$60/2)</f>
        <v>43.9022737646796</v>
      </c>
      <c r="F158" s="47" t="n">
        <f aca="false">(F155+F154-F157+Inputs!$B$60*F155/2-Inputs!$B$61*(F156-F157/2))/(1-Inputs!$B$60/2)</f>
        <v>49.8997446294168</v>
      </c>
    </row>
    <row r="159" customFormat="false" ht="15" hidden="false" customHeight="false" outlineLevel="0" collapsed="false">
      <c r="A159" s="10" t="s">
        <v>548</v>
      </c>
      <c r="B159" s="47" t="n">
        <f aca="false">IF(B158&gt;=Inputs!$B$67,0,(Inputs!$B$67-B155-B154+B157-Inputs!$B$60/4*(B155+Inputs!$B$67)/2+Inputs!$B$61/4*(B156-B157/2))/(1-Inputs!$B$61/4*Inputs!$B$69/(2*(1-Inputs!$B$70))))</f>
        <v>0</v>
      </c>
      <c r="C159" s="47" t="n">
        <f aca="false">IF(C158&gt;=Inputs!$B$67,0,(Inputs!$B$67-C155-C154+C157-Inputs!$B$60*(C155+Inputs!$B$67)/2+Inputs!$B$61*(C156-C157/2))/(1-Inputs!$B$61*Inputs!$B$69/(2*(1-Inputs!$B$70))))</f>
        <v>0</v>
      </c>
      <c r="D159" s="47" t="n">
        <f aca="false">IF(D158&gt;=Inputs!$B$67,0,(Inputs!$B$67-D155-D154+D157-Inputs!$B$60*(D155+Inputs!$B$67)/2+Inputs!$B$61*(D156-D157/2))/(1-Inputs!$B$61*Inputs!$B$69/(2*(1-Inputs!$B$70))))</f>
        <v>0</v>
      </c>
      <c r="E159" s="47" t="n">
        <f aca="false">IF(E158&gt;=Inputs!$B$67,0,(Inputs!$B$67-E155-E154+E157-Inputs!$B$60*(E155+Inputs!$B$67)/2+Inputs!$B$61*(E156-E157/2))/(1-Inputs!$B$61*Inputs!$B$69/(2*(1-Inputs!$B$70))))</f>
        <v>0</v>
      </c>
      <c r="F159" s="47" t="n">
        <f aca="false">IF(F158&gt;=Inputs!$B$67,0,(Inputs!$B$67-F155-F154+F157-Inputs!$B$60*(F155+Inputs!$B$67)/2+Inputs!$B$61*(F156-F157/2))/(1-Inputs!$B$61*Inputs!$B$69/(2*(1-Inputs!$B$70))))</f>
        <v>0</v>
      </c>
    </row>
    <row r="160" customFormat="false" ht="15" hidden="false" customHeight="false" outlineLevel="0" collapsed="false">
      <c r="A160" s="10" t="s">
        <v>549</v>
      </c>
      <c r="B160" s="47" t="n">
        <f aca="false">B159/(1-Inputs!$B$70)</f>
        <v>0</v>
      </c>
      <c r="C160" s="47" t="n">
        <f aca="false">C159/(1-Inputs!$B$70)</f>
        <v>0</v>
      </c>
      <c r="D160" s="47" t="n">
        <f aca="false">D159/(1-Inputs!$B$70)</f>
        <v>0</v>
      </c>
      <c r="E160" s="47" t="n">
        <f aca="false">E159/(1-Inputs!$B$70)</f>
        <v>0</v>
      </c>
      <c r="F160" s="47" t="n">
        <f aca="false">F159/(1-Inputs!$B$70)</f>
        <v>0</v>
      </c>
    </row>
    <row r="161" customFormat="false" ht="15" hidden="false" customHeight="false" outlineLevel="0" collapsed="false">
      <c r="A161" s="10" t="s">
        <v>550</v>
      </c>
      <c r="B161" s="47" t="n">
        <f aca="false">B160*Inputs!$B$69</f>
        <v>0</v>
      </c>
      <c r="C161" s="47" t="n">
        <f aca="false">C160*Inputs!$B$69</f>
        <v>0</v>
      </c>
      <c r="D161" s="47" t="n">
        <f aca="false">D160*Inputs!$B$69</f>
        <v>0</v>
      </c>
      <c r="E161" s="47" t="n">
        <f aca="false">E160*Inputs!$B$69</f>
        <v>0</v>
      </c>
      <c r="F161" s="47" t="n">
        <f aca="false">F160*Inputs!$B$69</f>
        <v>0</v>
      </c>
    </row>
    <row r="162" customFormat="false" ht="15" hidden="false" customHeight="false" outlineLevel="0" collapsed="false">
      <c r="A162" s="10" t="s">
        <v>551</v>
      </c>
      <c r="B162" s="47" t="n">
        <f aca="false">B160-B161</f>
        <v>0</v>
      </c>
      <c r="C162" s="47" t="n">
        <f aca="false">C160-C161</f>
        <v>0</v>
      </c>
      <c r="D162" s="47" t="n">
        <f aca="false">D160-D161</f>
        <v>0</v>
      </c>
      <c r="E162" s="47" t="n">
        <f aca="false">E160-E161</f>
        <v>0</v>
      </c>
      <c r="F162" s="47" t="n">
        <f aca="false">F160-F161</f>
        <v>0</v>
      </c>
    </row>
    <row r="163" customFormat="false" ht="15" hidden="false" customHeight="false" outlineLevel="0" collapsed="false">
      <c r="A163" s="10" t="s">
        <v>552</v>
      </c>
      <c r="B163" s="47" t="n">
        <f aca="false">B160-B159</f>
        <v>0</v>
      </c>
      <c r="C163" s="47" t="n">
        <f aca="false">C160-C159</f>
        <v>0</v>
      </c>
      <c r="D163" s="47" t="n">
        <f aca="false">D160-D159</f>
        <v>0</v>
      </c>
      <c r="E163" s="47" t="n">
        <f aca="false">E160-E159</f>
        <v>0</v>
      </c>
      <c r="F163" s="47" t="n">
        <f aca="false">F160-F159</f>
        <v>0</v>
      </c>
    </row>
    <row r="164" customFormat="false" ht="15" hidden="false" customHeight="false" outlineLevel="0" collapsed="false">
      <c r="A164" s="10" t="s">
        <v>553</v>
      </c>
      <c r="B164" s="47" t="n">
        <f aca="false">Inputs!$B$60/4*(B155+B166)/2</f>
        <v>0.436723894472362</v>
      </c>
      <c r="C164" s="47" t="n">
        <f aca="false">Inputs!$B$60*(C155+C166)/2</f>
        <v>1.6455167140601</v>
      </c>
      <c r="D164" s="47" t="n">
        <f aca="false">Inputs!$B$60*(D155+D166)/2</f>
        <v>1.62550857253874</v>
      </c>
      <c r="E164" s="47" t="n">
        <f aca="false">Inputs!$B$60*(E155+E166)/2</f>
        <v>1.69599291166168</v>
      </c>
      <c r="F164" s="47" t="n">
        <f aca="false">Inputs!$B$60*(F155+F166)/2</f>
        <v>1.87604036788193</v>
      </c>
    </row>
    <row r="165" customFormat="false" ht="15" hidden="false" customHeight="false" outlineLevel="0" collapsed="false">
      <c r="A165" s="10" t="s">
        <v>554</v>
      </c>
      <c r="B165" s="47" t="n">
        <f aca="false">Inputs!$B$61/4*(B156-B157/2+B161/2)</f>
        <v>0.142845</v>
      </c>
      <c r="C165" s="47" t="n">
        <f aca="false">Inputs!$B$61*(C156-C157/2+C161/2)</f>
        <v>0.57138</v>
      </c>
      <c r="D165" s="47" t="n">
        <f aca="false">Inputs!$B$61*(D156-D157/2+D161/2)</f>
        <v>0.57138</v>
      </c>
      <c r="E165" s="47" t="n">
        <f aca="false">Inputs!$B$61*(E156-E157/2+E161/2)</f>
        <v>0.57138</v>
      </c>
      <c r="F165" s="47" t="n">
        <f aca="false">Inputs!$B$61*(F156-F157/2+F161/2)</f>
        <v>0.57138</v>
      </c>
    </row>
    <row r="166" customFormat="false" ht="15" hidden="false" customHeight="false" outlineLevel="0" collapsed="false">
      <c r="A166" s="13" t="s">
        <v>555</v>
      </c>
      <c r="B166" s="18" t="n">
        <f aca="false">IF(B159&gt;0,Inputs!$B$67,B158)</f>
        <v>41.8977788944724</v>
      </c>
      <c r="C166" s="18" t="n">
        <f aca="false">IF(C159&gt;0,Inputs!$B$67,C158)</f>
        <v>40.3780568085325</v>
      </c>
      <c r="D166" s="18" t="n">
        <f aca="false">IF(D159&gt;0,Inputs!$B$67,D158)</f>
        <v>40.8973718184046</v>
      </c>
      <c r="E166" s="18" t="n">
        <f aca="false">IF(E159&gt;0,Inputs!$B$67,E158)</f>
        <v>43.9022737646796</v>
      </c>
      <c r="F166" s="18" t="n">
        <f aca="false">IF(F159&gt;0,Inputs!$B$67,F158)</f>
        <v>49.8997446294168</v>
      </c>
    </row>
    <row r="167" customFormat="false" ht="15" hidden="false" customHeight="false" outlineLevel="0" collapsed="false">
      <c r="A167" s="10" t="s">
        <v>556</v>
      </c>
      <c r="B167" s="47" t="n">
        <f aca="false">B156-B157+B161</f>
        <v>9.523</v>
      </c>
      <c r="C167" s="47" t="n">
        <f aca="false">C156-C157+C161</f>
        <v>9.523</v>
      </c>
      <c r="D167" s="47" t="n">
        <f aca="false">D156-D157+D161</f>
        <v>9.523</v>
      </c>
      <c r="E167" s="47" t="n">
        <f aca="false">E156-E157+E161</f>
        <v>9.523</v>
      </c>
      <c r="F167" s="47" t="n">
        <f aca="false">F156-F157+F161</f>
        <v>9.523</v>
      </c>
    </row>
    <row r="168" customFormat="false" ht="15" hidden="false" customHeight="false" outlineLevel="0" collapsed="false">
      <c r="A168" s="13" t="s">
        <v>557</v>
      </c>
      <c r="B168" s="18" t="n">
        <f aca="false">B166-B167</f>
        <v>32.3747788944724</v>
      </c>
      <c r="C168" s="18" t="n">
        <f aca="false">C166-C167</f>
        <v>30.8550568085325</v>
      </c>
      <c r="D168" s="18" t="n">
        <f aca="false">D166-D167</f>
        <v>31.3743718184046</v>
      </c>
      <c r="E168" s="18" t="n">
        <f aca="false">E166-E167</f>
        <v>34.3792737646796</v>
      </c>
      <c r="F168" s="18" t="n">
        <f aca="false">F166-F167</f>
        <v>40.3767446294168</v>
      </c>
    </row>
    <row r="169" customFormat="false" ht="15" hidden="false" customHeight="false" outlineLevel="0" collapsed="false">
      <c r="A169" s="10" t="s">
        <v>558</v>
      </c>
      <c r="B169" s="33" t="n">
        <f aca="false">ROUND(B155+B154-B157+B164-B165+B159-B166,6)</f>
        <v>0</v>
      </c>
      <c r="C169" s="33" t="n">
        <f aca="false">ROUND(C155+C154-C157+C164-C165+C159-C166,6)</f>
        <v>0</v>
      </c>
      <c r="D169" s="33" t="n">
        <f aca="false">ROUND(D155+D154-D157+D164-D165+D159-D166,6)</f>
        <v>0</v>
      </c>
      <c r="E169" s="33" t="n">
        <f aca="false">ROUND(E155+E154-E157+E164-E165+E159-E166,6)</f>
        <v>0</v>
      </c>
      <c r="F169" s="33" t="n">
        <f aca="false">ROUND(F155+F154-F157+F164-F165+F159-F166,6)</f>
        <v>0</v>
      </c>
    </row>
    <row r="170" customFormat="false" ht="15" hidden="false" customHeight="false" outlineLevel="0" collapsed="false">
      <c r="A170" s="10" t="s">
        <v>559</v>
      </c>
      <c r="B170" s="47" t="n">
        <f aca="false">B160</f>
        <v>0</v>
      </c>
      <c r="C170" s="47" t="n">
        <f aca="false">B170+C160</f>
        <v>0</v>
      </c>
      <c r="D170" s="47" t="n">
        <f aca="false">C170+D160</f>
        <v>0</v>
      </c>
      <c r="E170" s="47" t="n">
        <f aca="false">D170+E160</f>
        <v>0</v>
      </c>
      <c r="F170" s="47" t="n">
        <f aca="false">E170+F160</f>
        <v>0</v>
      </c>
    </row>
    <row r="171" customFormat="false" ht="15" hidden="false" customHeight="false" outlineLevel="0" collapsed="false">
      <c r="A171" s="10" t="s">
        <v>560</v>
      </c>
      <c r="B171" s="49" t="str">
        <f aca="false">IF(B170&gt;Inputs!$B$73,"UNFUNDED: above limit",IF(B160&gt;0,"Raising","OK"))</f>
        <v>OK</v>
      </c>
      <c r="C171" s="49" t="str">
        <f aca="false">IF(C170&gt;Inputs!$B$73,"UNFUNDED: above limit",IF(C160&gt;0,"Raising","OK"))</f>
        <v>OK</v>
      </c>
      <c r="D171" s="49" t="str">
        <f aca="false">IF(D170&gt;Inputs!$B$73,"UNFUNDED: above limit",IF(D160&gt;0,"Raising","OK"))</f>
        <v>OK</v>
      </c>
      <c r="E171" s="49" t="str">
        <f aca="false">IF(E170&gt;Inputs!$B$73,"UNFUNDED: above limit",IF(E160&gt;0,"Raising","OK"))</f>
        <v>OK</v>
      </c>
      <c r="F171" s="49" t="str">
        <f aca="false">IF(F170&gt;Inputs!$B$73,"UNFUNDED: above limit",IF(F160&gt;0,"Raising","OK"))</f>
        <v>OK</v>
      </c>
    </row>
    <row r="172" customFormat="false" ht="15" hidden="false" customHeight="false" outlineLevel="0" collapsed="false">
      <c r="A172" s="10" t="s">
        <v>561</v>
      </c>
      <c r="B172" s="47" t="n">
        <f aca="false">$F$129</f>
        <v>4.39029456791687</v>
      </c>
    </row>
    <row r="173" customFormat="false" ht="15" hidden="false" customHeight="false" outlineLevel="0" collapsed="false">
      <c r="A173" s="10" t="s">
        <v>562</v>
      </c>
      <c r="B173" s="19" t="n">
        <f aca="false">IF(Inputs!$B$8=1,Inputs!$B$79,IFERROR($F$148/$F$129,0))</f>
        <v>0.2416</v>
      </c>
    </row>
    <row r="174" customFormat="false" ht="15" hidden="false" customHeight="false" outlineLevel="0" collapsed="false">
      <c r="A174" s="10" t="s">
        <v>563</v>
      </c>
      <c r="B174" s="47" t="n">
        <f aca="false">$B$172*(1-$B$173)</f>
        <v>3.32959940030816</v>
      </c>
    </row>
    <row r="175" customFormat="false" ht="15" hidden="false" customHeight="false" outlineLevel="0" collapsed="false">
      <c r="A175" s="10" t="s">
        <v>564</v>
      </c>
      <c r="B175" s="50" t="n">
        <f aca="false">Inputs!$B$152</f>
        <v>25</v>
      </c>
    </row>
    <row r="176" customFormat="false" ht="15" hidden="false" customHeight="false" outlineLevel="0" collapsed="false">
      <c r="A176" s="10" t="s">
        <v>565</v>
      </c>
      <c r="B176" s="47" t="n">
        <f aca="false">$B$174*$B$175*$F$527</f>
        <v>54.83275641194</v>
      </c>
    </row>
    <row r="177" customFormat="false" ht="15" hidden="false" customHeight="false" outlineLevel="0" collapsed="false">
      <c r="A177" s="10" t="s">
        <v>566</v>
      </c>
      <c r="B177" s="47" t="n">
        <f aca="false">SUMPRODUCT($C$153:$F$153,$C$527:$F$527)</f>
        <v>-12.5445697662918</v>
      </c>
    </row>
    <row r="178" customFormat="false" ht="15" hidden="false" customHeight="false" outlineLevel="0" collapsed="false">
      <c r="A178" s="10" t="s">
        <v>567</v>
      </c>
      <c r="B178" s="18" t="n">
        <f aca="false">$B$176+$B$177</f>
        <v>42.2881866456482</v>
      </c>
    </row>
    <row r="179" customFormat="false" ht="15" hidden="false" customHeight="false" outlineLevel="0" collapsed="false">
      <c r="A179" s="10" t="s">
        <v>568</v>
      </c>
      <c r="B179" s="47" t="n">
        <f aca="false">$B$174+$F$128-$F$131-$F$152</f>
        <v>-1.27471754168552</v>
      </c>
    </row>
    <row r="180" customFormat="false" ht="15" hidden="false" customHeight="false" outlineLevel="0" collapsed="false">
      <c r="A180" s="10" t="s">
        <v>569</v>
      </c>
      <c r="B180" s="50" t="n">
        <f aca="false">Inputs!$B$153</f>
        <v>20</v>
      </c>
    </row>
    <row r="181" customFormat="false" ht="15" hidden="false" customHeight="false" outlineLevel="0" collapsed="false">
      <c r="A181" s="10" t="s">
        <v>570</v>
      </c>
      <c r="B181" s="47" t="n">
        <f aca="false">$B$179*$B$180*$F$527</f>
        <v>-16.7939185598844</v>
      </c>
    </row>
    <row r="182" customFormat="false" ht="15" hidden="false" customHeight="false" outlineLevel="0" collapsed="false">
      <c r="A182" s="10" t="s">
        <v>571</v>
      </c>
      <c r="B182" s="18" t="n">
        <f aca="false">$B$177+$B$181</f>
        <v>-29.3384883261762</v>
      </c>
    </row>
    <row r="183" customFormat="false" ht="15" hidden="false" customHeight="false" outlineLevel="0" collapsed="false">
      <c r="A183" s="13" t="s">
        <v>572</v>
      </c>
      <c r="B183" s="18" t="n">
        <f aca="false">$B$178*Inputs!$B$7+$B$182*(1-Inputs!$B$7)</f>
        <v>6.47484915973597</v>
      </c>
    </row>
    <row r="184" customFormat="false" ht="15" hidden="false" customHeight="false" outlineLevel="0" collapsed="false">
      <c r="A184" s="10" t="s">
        <v>573</v>
      </c>
      <c r="B184" s="47" t="n">
        <f aca="false">MAX(0,$F$134)</f>
        <v>1.62770440272067</v>
      </c>
      <c r="H184" s="51" t="n">
        <v>1</v>
      </c>
      <c r="I184" s="51" t="n">
        <v>2</v>
      </c>
      <c r="J184" s="51" t="n">
        <v>3</v>
      </c>
      <c r="K184" s="51" t="n">
        <v>4</v>
      </c>
      <c r="L184" s="51" t="n">
        <v>5</v>
      </c>
      <c r="M184" s="51" t="n">
        <v>6</v>
      </c>
      <c r="N184" s="51" t="n">
        <v>7</v>
      </c>
      <c r="O184" s="51" t="n">
        <v>8</v>
      </c>
      <c r="P184" s="51" t="n">
        <v>9</v>
      </c>
      <c r="Q184" s="51" t="n">
        <v>10</v>
      </c>
      <c r="R184" s="51" t="n">
        <v>11</v>
      </c>
      <c r="S184" s="51" t="n">
        <v>12</v>
      </c>
      <c r="T184" s="51" t="n">
        <v>13</v>
      </c>
      <c r="U184" s="51" t="n">
        <v>14</v>
      </c>
      <c r="V184" s="51" t="n">
        <v>15</v>
      </c>
      <c r="W184" s="51" t="n">
        <v>16</v>
      </c>
      <c r="X184" s="51" t="n">
        <v>17</v>
      </c>
      <c r="Y184" s="51" t="n">
        <v>18</v>
      </c>
      <c r="Z184" s="51" t="n">
        <v>19</v>
      </c>
      <c r="AA184" s="51" t="n">
        <v>20</v>
      </c>
      <c r="AB184" s="51" t="n">
        <v>21</v>
      </c>
      <c r="AC184" s="51" t="n">
        <v>22</v>
      </c>
      <c r="AD184" s="51" t="n">
        <v>23</v>
      </c>
      <c r="AE184" s="51" t="n">
        <v>24</v>
      </c>
      <c r="AF184" s="51" t="n">
        <v>25</v>
      </c>
      <c r="AG184" s="51" t="n">
        <v>26</v>
      </c>
      <c r="AH184" s="51" t="n">
        <v>27</v>
      </c>
      <c r="AI184" s="51" t="n">
        <v>28</v>
      </c>
      <c r="AJ184" s="51" t="n">
        <v>29</v>
      </c>
      <c r="AK184" s="51" t="n">
        <v>30</v>
      </c>
    </row>
    <row r="185" customFormat="false" ht="15" hidden="false" customHeight="false" outlineLevel="0" collapsed="false">
      <c r="A185" s="10" t="s">
        <v>574</v>
      </c>
      <c r="H185" s="25" t="n">
        <f aca="false">1/(1+Inputs!$B$6)^1</f>
        <v>0.900900900900901</v>
      </c>
      <c r="I185" s="25" t="n">
        <f aca="false">1/(1+Inputs!$B$6)^2</f>
        <v>0.811622433244055</v>
      </c>
      <c r="J185" s="25" t="n">
        <f aca="false">1/(1+Inputs!$B$6)^3</f>
        <v>0.73119138130095</v>
      </c>
      <c r="K185" s="25" t="n">
        <f aca="false">1/(1+Inputs!$B$6)^4</f>
        <v>0.658730974145</v>
      </c>
      <c r="L185" s="25" t="n">
        <f aca="false">1/(1+Inputs!$B$6)^5</f>
        <v>0.593451328058559</v>
      </c>
      <c r="M185" s="25" t="n">
        <f aca="false">1/(1+Inputs!$B$6)^6</f>
        <v>0.534640836088791</v>
      </c>
      <c r="N185" s="25" t="n">
        <f aca="false">1/(1+Inputs!$B$6)^7</f>
        <v>0.481658410890803</v>
      </c>
      <c r="O185" s="25" t="n">
        <f aca="false">1/(1+Inputs!$B$6)^8</f>
        <v>0.433926496298021</v>
      </c>
      <c r="P185" s="25" t="n">
        <f aca="false">1/(1+Inputs!$B$6)^9</f>
        <v>0.390924771439658</v>
      </c>
      <c r="Q185" s="25" t="n">
        <f aca="false">1/(1+Inputs!$B$6)^10</f>
        <v>0.352184478774467</v>
      </c>
      <c r="R185" s="25" t="n">
        <f aca="false">1/(1+Inputs!$B$6)^11</f>
        <v>0.317283314211231</v>
      </c>
      <c r="S185" s="25" t="n">
        <f aca="false">1/(1+Inputs!$B$6)^12</f>
        <v>0.285840823613722</v>
      </c>
      <c r="T185" s="25" t="n">
        <f aca="false">1/(1+Inputs!$B$6)^13</f>
        <v>0.257514255507858</v>
      </c>
      <c r="U185" s="25" t="n">
        <f aca="false">1/(1+Inputs!$B$6)^14</f>
        <v>0.231994824781854</v>
      </c>
      <c r="V185" s="25" t="n">
        <f aca="false">1/(1+Inputs!$B$6)^15</f>
        <v>0.209004346650319</v>
      </c>
      <c r="W185" s="25" t="n">
        <f aca="false">1/(1+Inputs!$B$6)^16</f>
        <v>0.188292204189476</v>
      </c>
      <c r="X185" s="25" t="n">
        <f aca="false">1/(1+Inputs!$B$6)^17</f>
        <v>0.169632616386915</v>
      </c>
      <c r="Y185" s="25" t="n">
        <f aca="false">1/(1+Inputs!$B$6)^18</f>
        <v>0.152822176925149</v>
      </c>
      <c r="Z185" s="25" t="n">
        <f aca="false">1/(1+Inputs!$B$6)^19</f>
        <v>0.137677636869504</v>
      </c>
      <c r="AA185" s="25" t="n">
        <f aca="false">1/(1+Inputs!$B$6)^20</f>
        <v>0.124033907089643</v>
      </c>
      <c r="AB185" s="25" t="n">
        <f aca="false">1/(1+Inputs!$B$6)^21</f>
        <v>0.111742258639318</v>
      </c>
      <c r="AC185" s="25" t="n">
        <f aca="false">1/(1+Inputs!$B$6)^22</f>
        <v>0.100668701476863</v>
      </c>
      <c r="AD185" s="25" t="n">
        <f aca="false">1/(1+Inputs!$B$6)^23</f>
        <v>0.0906925238530297</v>
      </c>
      <c r="AE185" s="25" t="n">
        <f aca="false">1/(1+Inputs!$B$6)^24</f>
        <v>0.0817049764441709</v>
      </c>
      <c r="AF185" s="25" t="n">
        <f aca="false">1/(1+Inputs!$B$6)^25</f>
        <v>0.0736080868866405</v>
      </c>
      <c r="AG185" s="25" t="n">
        <f aca="false">1/(1+Inputs!$B$6)^26</f>
        <v>0.0663135917897662</v>
      </c>
      <c r="AH185" s="25" t="n">
        <f aca="false">1/(1+Inputs!$B$6)^27</f>
        <v>0.0597419745853749</v>
      </c>
      <c r="AI185" s="25" t="n">
        <f aca="false">1/(1+Inputs!$B$6)^28</f>
        <v>0.053821598725563</v>
      </c>
      <c r="AJ185" s="25" t="n">
        <f aca="false">1/(1+Inputs!$B$6)^29</f>
        <v>0.0484879267797865</v>
      </c>
      <c r="AK185" s="25" t="n">
        <f aca="false">1/(1+Inputs!$B$6)^30</f>
        <v>0.0436828169187266</v>
      </c>
    </row>
    <row r="186" customFormat="false" ht="15" hidden="false" customHeight="false" outlineLevel="0" collapsed="false">
      <c r="A186" s="10" t="s">
        <v>575</v>
      </c>
      <c r="G186" s="47" t="n">
        <f aca="false">$F$137</f>
        <v>3.85249559727933</v>
      </c>
      <c r="H186" s="47" t="n">
        <f aca="false">G186</f>
        <v>3.85249559727933</v>
      </c>
      <c r="I186" s="47" t="n">
        <f aca="false">H186-H187</f>
        <v>2.22479119455866</v>
      </c>
      <c r="J186" s="47" t="n">
        <f aca="false">I186-I187</f>
        <v>0.597086791837988</v>
      </c>
      <c r="K186" s="47" t="n">
        <f aca="false">J186-J187</f>
        <v>0</v>
      </c>
      <c r="L186" s="47" t="n">
        <f aca="false">K186-K187</f>
        <v>0</v>
      </c>
      <c r="M186" s="47" t="n">
        <f aca="false">L186-L187</f>
        <v>0</v>
      </c>
      <c r="N186" s="47" t="n">
        <f aca="false">M186-M187</f>
        <v>0</v>
      </c>
      <c r="O186" s="47" t="n">
        <f aca="false">N186-N187</f>
        <v>0</v>
      </c>
      <c r="P186" s="47" t="n">
        <f aca="false">O186-O187</f>
        <v>0</v>
      </c>
      <c r="Q186" s="47" t="n">
        <f aca="false">P186-P187</f>
        <v>0</v>
      </c>
      <c r="R186" s="47" t="n">
        <f aca="false">Q186-Q187</f>
        <v>0</v>
      </c>
      <c r="S186" s="47" t="n">
        <f aca="false">R186-R187</f>
        <v>0</v>
      </c>
      <c r="T186" s="47" t="n">
        <f aca="false">S186-S187</f>
        <v>0</v>
      </c>
      <c r="U186" s="47" t="n">
        <f aca="false">T186-T187</f>
        <v>0</v>
      </c>
      <c r="V186" s="47" t="n">
        <f aca="false">U186-U187</f>
        <v>0</v>
      </c>
      <c r="W186" s="47" t="n">
        <f aca="false">V186-V187</f>
        <v>0</v>
      </c>
      <c r="X186" s="47" t="n">
        <f aca="false">W186-W187</f>
        <v>0</v>
      </c>
      <c r="Y186" s="47" t="n">
        <f aca="false">X186-X187</f>
        <v>0</v>
      </c>
      <c r="Z186" s="47" t="n">
        <f aca="false">Y186-Y187</f>
        <v>0</v>
      </c>
      <c r="AA186" s="47" t="n">
        <f aca="false">Z186-Z187</f>
        <v>0</v>
      </c>
      <c r="AB186" s="47" t="n">
        <f aca="false">AA186-AA187</f>
        <v>0</v>
      </c>
      <c r="AC186" s="47" t="n">
        <f aca="false">AB186-AB187</f>
        <v>0</v>
      </c>
      <c r="AD186" s="47" t="n">
        <f aca="false">AC186-AC187</f>
        <v>0</v>
      </c>
      <c r="AE186" s="47" t="n">
        <f aca="false">AD186-AD187</f>
        <v>0</v>
      </c>
      <c r="AF186" s="47" t="n">
        <f aca="false">AE186-AE187</f>
        <v>0</v>
      </c>
      <c r="AG186" s="47" t="n">
        <f aca="false">AF186-AF187</f>
        <v>0</v>
      </c>
      <c r="AH186" s="47" t="n">
        <f aca="false">AG186-AG187</f>
        <v>0</v>
      </c>
      <c r="AI186" s="47" t="n">
        <f aca="false">AH186-AH187</f>
        <v>0</v>
      </c>
      <c r="AJ186" s="47" t="n">
        <f aca="false">AI186-AI187</f>
        <v>0</v>
      </c>
      <c r="AK186" s="47" t="n">
        <f aca="false">AJ186-AJ187</f>
        <v>0</v>
      </c>
    </row>
    <row r="187" customFormat="false" ht="15" hidden="false" customHeight="false" outlineLevel="0" collapsed="false">
      <c r="A187" s="10" t="s">
        <v>576</v>
      </c>
      <c r="H187" s="47" t="n">
        <f aca="false">IF(1&lt;=Inputs!$B$44,MIN(H186,$B$184,1E+099),0)</f>
        <v>1.62770440272067</v>
      </c>
      <c r="I187" s="47" t="n">
        <f aca="false">IF(2&lt;=Inputs!$B$44,MIN(I186,$B$184,1E+099),0)</f>
        <v>1.62770440272067</v>
      </c>
      <c r="J187" s="47" t="n">
        <f aca="false">IF(3&lt;=Inputs!$B$44,MIN(J186,$B$184,1E+099),0)</f>
        <v>0.597086791837988</v>
      </c>
      <c r="K187" s="47" t="n">
        <f aca="false">IF(4&lt;=Inputs!$B$44,MIN(K186,$B$184,1E+099),0)</f>
        <v>0</v>
      </c>
      <c r="L187" s="47" t="n">
        <f aca="false">IF(5&lt;=Inputs!$B$44,MIN(L186,$B$184,1E+099),0)</f>
        <v>0</v>
      </c>
      <c r="M187" s="47" t="n">
        <f aca="false">IF(6&lt;=Inputs!$B$44,MIN(M186,$B$184,1E+099),0)</f>
        <v>0</v>
      </c>
      <c r="N187" s="47" t="n">
        <f aca="false">IF(7&lt;=Inputs!$B$44,MIN(N186,$B$184,1E+099),0)</f>
        <v>0</v>
      </c>
      <c r="O187" s="47" t="n">
        <f aca="false">IF(8&lt;=Inputs!$B$44,MIN(O186,$B$184,1E+099),0)</f>
        <v>0</v>
      </c>
      <c r="P187" s="47" t="n">
        <f aca="false">IF(9&lt;=Inputs!$B$44,MIN(P186,$B$184,1E+099),0)</f>
        <v>0</v>
      </c>
      <c r="Q187" s="47" t="n">
        <f aca="false">IF(10&lt;=Inputs!$B$44,MIN(Q186,$B$184,1E+099),0)</f>
        <v>0</v>
      </c>
      <c r="R187" s="47" t="n">
        <f aca="false">IF(11&lt;=Inputs!$B$44,MIN(R186,$B$184,1E+099),0)</f>
        <v>0</v>
      </c>
      <c r="S187" s="47" t="n">
        <f aca="false">IF(12&lt;=Inputs!$B$44,MIN(S186,$B$184,1E+099),0)</f>
        <v>0</v>
      </c>
      <c r="T187" s="47" t="n">
        <f aca="false">IF(13&lt;=Inputs!$B$44,MIN(T186,$B$184,1E+099),0)</f>
        <v>0</v>
      </c>
      <c r="U187" s="47" t="n">
        <f aca="false">IF(14&lt;=Inputs!$B$44,MIN(U186,$B$184,1E+099),0)</f>
        <v>0</v>
      </c>
      <c r="V187" s="47" t="n">
        <f aca="false">IF(15&lt;=Inputs!$B$44,MIN(V186,$B$184,1E+099),0)</f>
        <v>0</v>
      </c>
      <c r="W187" s="47" t="n">
        <f aca="false">IF(16&lt;=Inputs!$B$44,MIN(W186,$B$184,1E+099),0)</f>
        <v>0</v>
      </c>
      <c r="X187" s="47" t="n">
        <f aca="false">IF(17&lt;=Inputs!$B$44,MIN(X186,$B$184,1E+099),0)</f>
        <v>0</v>
      </c>
      <c r="Y187" s="47" t="n">
        <f aca="false">IF(18&lt;=Inputs!$B$44,MIN(Y186,$B$184,1E+099),0)</f>
        <v>0</v>
      </c>
      <c r="Z187" s="47" t="n">
        <f aca="false">IF(19&lt;=Inputs!$B$44,MIN(Z186,$B$184,1E+099),0)</f>
        <v>0</v>
      </c>
      <c r="AA187" s="47" t="n">
        <f aca="false">IF(20&lt;=Inputs!$B$44,MIN(AA186,$B$184,1E+099),0)</f>
        <v>0</v>
      </c>
      <c r="AB187" s="47" t="n">
        <f aca="false">IF(21&lt;=Inputs!$B$44,MIN(AB186,$B$184,1E+099),0)</f>
        <v>0</v>
      </c>
      <c r="AC187" s="47" t="n">
        <f aca="false">IF(22&lt;=Inputs!$B$44,MIN(AC186,$B$184,1E+099),0)</f>
        <v>0</v>
      </c>
      <c r="AD187" s="47" t="n">
        <f aca="false">IF(23&lt;=Inputs!$B$44,MIN(AD186,$B$184,1E+099),0)</f>
        <v>0</v>
      </c>
      <c r="AE187" s="47" t="n">
        <f aca="false">IF(24&lt;=Inputs!$B$44,MIN(AE186,$B$184,1E+099),0)</f>
        <v>0</v>
      </c>
      <c r="AF187" s="47" t="n">
        <f aca="false">IF(25&lt;=Inputs!$B$44,MIN(AF186,$B$184,1E+099),0)</f>
        <v>0</v>
      </c>
      <c r="AG187" s="47" t="n">
        <f aca="false">IF(26&lt;=Inputs!$B$44,MIN(AG186,$B$184,1E+099),0)</f>
        <v>0</v>
      </c>
      <c r="AH187" s="47" t="n">
        <f aca="false">IF(27&lt;=Inputs!$B$44,MIN(AH186,$B$184,1E+099),0)</f>
        <v>0</v>
      </c>
      <c r="AI187" s="47" t="n">
        <f aca="false">IF(28&lt;=Inputs!$B$44,MIN(AI186,$B$184,1E+099),0)</f>
        <v>0</v>
      </c>
      <c r="AJ187" s="47" t="n">
        <f aca="false">IF(29&lt;=Inputs!$B$44,MIN(AJ186,$B$184,1E+099),0)</f>
        <v>0</v>
      </c>
      <c r="AK187" s="47" t="n">
        <f aca="false">IF(30&lt;=Inputs!$B$44,MIN(AK186,$B$184,1E+099),0)</f>
        <v>0</v>
      </c>
    </row>
    <row r="188" customFormat="false" ht="15" hidden="false" customHeight="false" outlineLevel="0" collapsed="false">
      <c r="A188" s="10" t="s">
        <v>577</v>
      </c>
      <c r="G188" s="47" t="n">
        <f aca="false">$F$138</f>
        <v>4.11674474746666</v>
      </c>
      <c r="H188" s="47" t="n">
        <f aca="false">G188</f>
        <v>4.11674474746666</v>
      </c>
      <c r="I188" s="47" t="n">
        <f aca="false">H188-H189</f>
        <v>4.11674474746666</v>
      </c>
      <c r="J188" s="47" t="n">
        <f aca="false">I188-I189</f>
        <v>4.11674474746666</v>
      </c>
      <c r="K188" s="47" t="n">
        <f aca="false">J188-J189</f>
        <v>3.08612713658397</v>
      </c>
      <c r="L188" s="47" t="n">
        <f aca="false">K188-K189</f>
        <v>1.4584227338633</v>
      </c>
      <c r="M188" s="47" t="n">
        <f aca="false">L188-L189</f>
        <v>0</v>
      </c>
      <c r="N188" s="47" t="n">
        <f aca="false">M188-M189</f>
        <v>0</v>
      </c>
      <c r="O188" s="47" t="n">
        <f aca="false">N188-N189</f>
        <v>0</v>
      </c>
      <c r="P188" s="47" t="n">
        <f aca="false">O188-O189</f>
        <v>0</v>
      </c>
      <c r="Q188" s="47" t="n">
        <f aca="false">P188-P189</f>
        <v>0</v>
      </c>
      <c r="R188" s="47" t="n">
        <f aca="false">Q188-Q189</f>
        <v>0</v>
      </c>
      <c r="S188" s="47" t="n">
        <f aca="false">R188-R189</f>
        <v>0</v>
      </c>
      <c r="T188" s="47" t="n">
        <f aca="false">S188-S189</f>
        <v>0</v>
      </c>
      <c r="U188" s="47" t="n">
        <f aca="false">T188-T189</f>
        <v>0</v>
      </c>
      <c r="V188" s="47" t="n">
        <f aca="false">U188-U189</f>
        <v>0</v>
      </c>
      <c r="W188" s="47" t="n">
        <f aca="false">V188-V189</f>
        <v>0</v>
      </c>
      <c r="X188" s="47" t="n">
        <f aca="false">W188-W189</f>
        <v>0</v>
      </c>
      <c r="Y188" s="47" t="n">
        <f aca="false">X188-X189</f>
        <v>0</v>
      </c>
      <c r="Z188" s="47" t="n">
        <f aca="false">Y188-Y189</f>
        <v>0</v>
      </c>
      <c r="AA188" s="47" t="n">
        <f aca="false">Z188-Z189</f>
        <v>0</v>
      </c>
      <c r="AB188" s="47" t="n">
        <f aca="false">AA188-AA189</f>
        <v>0</v>
      </c>
      <c r="AC188" s="47" t="n">
        <f aca="false">AB188-AB189</f>
        <v>0</v>
      </c>
      <c r="AD188" s="47" t="n">
        <f aca="false">AC188-AC189</f>
        <v>0</v>
      </c>
      <c r="AE188" s="47" t="n">
        <f aca="false">AD188-AD189</f>
        <v>0</v>
      </c>
      <c r="AF188" s="47" t="n">
        <f aca="false">AE188-AE189</f>
        <v>0</v>
      </c>
      <c r="AG188" s="47" t="n">
        <f aca="false">AF188-AF189</f>
        <v>0</v>
      </c>
      <c r="AH188" s="47" t="n">
        <f aca="false">AG188-AG189</f>
        <v>0</v>
      </c>
      <c r="AI188" s="47" t="n">
        <f aca="false">AH188-AH189</f>
        <v>0</v>
      </c>
      <c r="AJ188" s="47" t="n">
        <f aca="false">AI188-AI189</f>
        <v>0</v>
      </c>
      <c r="AK188" s="47" t="n">
        <f aca="false">AJ188-AJ189</f>
        <v>0</v>
      </c>
    </row>
    <row r="189" customFormat="false" ht="15" hidden="false" customHeight="false" outlineLevel="0" collapsed="false">
      <c r="A189" s="10" t="s">
        <v>576</v>
      </c>
      <c r="H189" s="47" t="n">
        <f aca="false">IF(1&lt;=Inputs!$B$44,MIN(H188,$B$184-H187),0)</f>
        <v>0</v>
      </c>
      <c r="I189" s="47" t="n">
        <f aca="false">IF(2&lt;=Inputs!$B$44,MIN(I188,$B$184-I187),0)</f>
        <v>0</v>
      </c>
      <c r="J189" s="47" t="n">
        <f aca="false">IF(3&lt;=Inputs!$B$44,MIN(J188,$B$184-J187),0)</f>
        <v>1.03061761088268</v>
      </c>
      <c r="K189" s="47" t="n">
        <f aca="false">IF(4&lt;=Inputs!$B$44,MIN(K188,$B$184-K187),0)</f>
        <v>1.62770440272067</v>
      </c>
      <c r="L189" s="47" t="n">
        <f aca="false">IF(5&lt;=Inputs!$B$44,MIN(L188,$B$184-L187),0)</f>
        <v>1.4584227338633</v>
      </c>
      <c r="M189" s="47" t="n">
        <f aca="false">IF(6&lt;=Inputs!$B$44,MIN(M188,$B$184-M187),0)</f>
        <v>0</v>
      </c>
      <c r="N189" s="47" t="n">
        <f aca="false">IF(7&lt;=Inputs!$B$44,MIN(N188,$B$184-N187),0)</f>
        <v>0</v>
      </c>
      <c r="O189" s="47" t="n">
        <f aca="false">IF(8&lt;=Inputs!$B$44,MIN(O188,$B$184-O187),0)</f>
        <v>0</v>
      </c>
      <c r="P189" s="47" t="n">
        <f aca="false">IF(9&lt;=Inputs!$B$44,MIN(P188,$B$184-P187),0)</f>
        <v>0</v>
      </c>
      <c r="Q189" s="47" t="n">
        <f aca="false">IF(10&lt;=Inputs!$B$44,MIN(Q188,$B$184-Q187),0)</f>
        <v>0</v>
      </c>
      <c r="R189" s="47" t="n">
        <f aca="false">IF(11&lt;=Inputs!$B$44,MIN(R188,$B$184-R187),0)</f>
        <v>0</v>
      </c>
      <c r="S189" s="47" t="n">
        <f aca="false">IF(12&lt;=Inputs!$B$44,MIN(S188,$B$184-S187),0)</f>
        <v>0</v>
      </c>
      <c r="T189" s="47" t="n">
        <f aca="false">IF(13&lt;=Inputs!$B$44,MIN(T188,$B$184-T187),0)</f>
        <v>0</v>
      </c>
      <c r="U189" s="47" t="n">
        <f aca="false">IF(14&lt;=Inputs!$B$44,MIN(U188,$B$184-U187),0)</f>
        <v>0</v>
      </c>
      <c r="V189" s="47" t="n">
        <f aca="false">IF(15&lt;=Inputs!$B$44,MIN(V188,$B$184-V187),0)</f>
        <v>0</v>
      </c>
      <c r="W189" s="47" t="n">
        <f aca="false">IF(16&lt;=Inputs!$B$44,MIN(W188,$B$184-W187),0)</f>
        <v>0</v>
      </c>
      <c r="X189" s="47" t="n">
        <f aca="false">IF(17&lt;=Inputs!$B$44,MIN(X188,$B$184-X187),0)</f>
        <v>0</v>
      </c>
      <c r="Y189" s="47" t="n">
        <f aca="false">IF(18&lt;=Inputs!$B$44,MIN(Y188,$B$184-Y187),0)</f>
        <v>0</v>
      </c>
      <c r="Z189" s="47" t="n">
        <f aca="false">IF(19&lt;=Inputs!$B$44,MIN(Z188,$B$184-Z187),0)</f>
        <v>0</v>
      </c>
      <c r="AA189" s="47" t="n">
        <f aca="false">IF(20&lt;=Inputs!$B$44,MIN(AA188,$B$184-AA187),0)</f>
        <v>0</v>
      </c>
      <c r="AB189" s="47" t="n">
        <f aca="false">IF(21&lt;=Inputs!$B$44,MIN(AB188,$B$184-AB187),0)</f>
        <v>0</v>
      </c>
      <c r="AC189" s="47" t="n">
        <f aca="false">IF(22&lt;=Inputs!$B$44,MIN(AC188,$B$184-AC187),0)</f>
        <v>0</v>
      </c>
      <c r="AD189" s="47" t="n">
        <f aca="false">IF(23&lt;=Inputs!$B$44,MIN(AD188,$B$184-AD187),0)</f>
        <v>0</v>
      </c>
      <c r="AE189" s="47" t="n">
        <f aca="false">IF(24&lt;=Inputs!$B$44,MIN(AE188,$B$184-AE187),0)</f>
        <v>0</v>
      </c>
      <c r="AF189" s="47" t="n">
        <f aca="false">IF(25&lt;=Inputs!$B$44,MIN(AF188,$B$184-AF187),0)</f>
        <v>0</v>
      </c>
      <c r="AG189" s="47" t="n">
        <f aca="false">IF(26&lt;=Inputs!$B$44,MIN(AG188,$B$184-AG187),0)</f>
        <v>0</v>
      </c>
      <c r="AH189" s="47" t="n">
        <f aca="false">IF(27&lt;=Inputs!$B$44,MIN(AH188,$B$184-AH187),0)</f>
        <v>0</v>
      </c>
      <c r="AI189" s="47" t="n">
        <f aca="false">IF(28&lt;=Inputs!$B$44,MIN(AI188,$B$184-AI187),0)</f>
        <v>0</v>
      </c>
      <c r="AJ189" s="47" t="n">
        <f aca="false">IF(29&lt;=Inputs!$B$44,MIN(AJ188,$B$184-AJ187),0)</f>
        <v>0</v>
      </c>
      <c r="AK189" s="47" t="n">
        <f aca="false">IF(30&lt;=Inputs!$B$44,MIN(AK188,$B$184-AK187),0)</f>
        <v>0</v>
      </c>
    </row>
    <row r="190" customFormat="false" ht="15" hidden="false" customHeight="false" outlineLevel="0" collapsed="false">
      <c r="A190" s="10" t="s">
        <v>578</v>
      </c>
      <c r="H190" s="47" t="n">
        <f aca="false">($B$184-H187-H189)*Inputs!$B$34</f>
        <v>0</v>
      </c>
      <c r="I190" s="47" t="n">
        <f aca="false">($B$184-I187-I189)*Inputs!$B$34</f>
        <v>0</v>
      </c>
      <c r="J190" s="47" t="n">
        <f aca="false">($B$184-J187-J189)*Inputs!$B$34</f>
        <v>0</v>
      </c>
      <c r="K190" s="47" t="n">
        <f aca="false">($B$184-K187-K189)*Inputs!$B$34</f>
        <v>0</v>
      </c>
      <c r="L190" s="47" t="n">
        <f aca="false">($B$184-L187-L189)*Inputs!$B$34</f>
        <v>0.00677126675429467</v>
      </c>
      <c r="M190" s="47" t="n">
        <f aca="false">($B$184-M187-M189)*Inputs!$B$34</f>
        <v>0.0651081761088268</v>
      </c>
      <c r="N190" s="47" t="n">
        <f aca="false">($B$184-N187-N189)*Inputs!$B$34</f>
        <v>0.0651081761088268</v>
      </c>
      <c r="O190" s="47" t="n">
        <f aca="false">($B$184-O187-O189)*Inputs!$B$34</f>
        <v>0.0651081761088268</v>
      </c>
      <c r="P190" s="47" t="n">
        <f aca="false">($B$184-P187-P189)*Inputs!$B$34</f>
        <v>0.0651081761088268</v>
      </c>
      <c r="Q190" s="47" t="n">
        <f aca="false">($B$184-Q187-Q189)*Inputs!$B$34</f>
        <v>0.0651081761088268</v>
      </c>
      <c r="R190" s="47" t="n">
        <f aca="false">($B$184-R187-R189)*Inputs!$B$34</f>
        <v>0.0651081761088268</v>
      </c>
      <c r="S190" s="47" t="n">
        <f aca="false">($B$184-S187-S189)*Inputs!$B$34</f>
        <v>0.0651081761088268</v>
      </c>
      <c r="T190" s="47" t="n">
        <f aca="false">($B$184-T187-T189)*Inputs!$B$34</f>
        <v>0.0651081761088268</v>
      </c>
      <c r="U190" s="47" t="n">
        <f aca="false">($B$184-U187-U189)*Inputs!$B$34</f>
        <v>0.0651081761088268</v>
      </c>
      <c r="V190" s="47" t="n">
        <f aca="false">($B$184-V187-V189)*Inputs!$B$34</f>
        <v>0.0651081761088268</v>
      </c>
      <c r="W190" s="47" t="n">
        <f aca="false">($B$184-W187-W189)*Inputs!$B$34</f>
        <v>0.0651081761088268</v>
      </c>
      <c r="X190" s="47" t="n">
        <f aca="false">($B$184-X187-X189)*Inputs!$B$34</f>
        <v>0.0651081761088268</v>
      </c>
      <c r="Y190" s="47" t="n">
        <f aca="false">($B$184-Y187-Y189)*Inputs!$B$34</f>
        <v>0.0651081761088268</v>
      </c>
      <c r="Z190" s="47" t="n">
        <f aca="false">($B$184-Z187-Z189)*Inputs!$B$34</f>
        <v>0.0651081761088268</v>
      </c>
      <c r="AA190" s="47" t="n">
        <f aca="false">($B$184-AA187-AA189)*Inputs!$B$34</f>
        <v>0.0651081761088268</v>
      </c>
      <c r="AB190" s="47" t="n">
        <f aca="false">($B$184-AB187-AB189)*Inputs!$B$34</f>
        <v>0.0651081761088268</v>
      </c>
      <c r="AC190" s="47" t="n">
        <f aca="false">($B$184-AC187-AC189)*Inputs!$B$34</f>
        <v>0.0651081761088268</v>
      </c>
      <c r="AD190" s="47" t="n">
        <f aca="false">($B$184-AD187-AD189)*Inputs!$B$34</f>
        <v>0.0651081761088268</v>
      </c>
      <c r="AE190" s="47" t="n">
        <f aca="false">($B$184-AE187-AE189)*Inputs!$B$34</f>
        <v>0.0651081761088268</v>
      </c>
      <c r="AF190" s="47" t="n">
        <f aca="false">($B$184-AF187-AF189)*Inputs!$B$34</f>
        <v>0.0651081761088268</v>
      </c>
      <c r="AG190" s="47" t="n">
        <f aca="false">($B$184-AG187-AG189)*Inputs!$B$34</f>
        <v>0.0651081761088268</v>
      </c>
      <c r="AH190" s="47" t="n">
        <f aca="false">($B$184-AH187-AH189)*Inputs!$B$34</f>
        <v>0.0651081761088268</v>
      </c>
      <c r="AI190" s="47" t="n">
        <f aca="false">($B$184-AI187-AI189)*Inputs!$B$34</f>
        <v>0.0651081761088268</v>
      </c>
      <c r="AJ190" s="47" t="n">
        <f aca="false">($B$184-AJ187-AJ189)*Inputs!$B$34</f>
        <v>0.0651081761088268</v>
      </c>
      <c r="AK190" s="47" t="n">
        <f aca="false">($B$184-AK187-AK189)*Inputs!$B$34</f>
        <v>0.0651081761088268</v>
      </c>
    </row>
    <row r="191" customFormat="false" ht="15" hidden="false" customHeight="false" outlineLevel="0" collapsed="false">
      <c r="A191" s="10" t="s">
        <v>579</v>
      </c>
      <c r="H191" s="47" t="n">
        <f aca="false">$B$184-H190</f>
        <v>1.62770440272067</v>
      </c>
      <c r="I191" s="47" t="n">
        <f aca="false">$B$184-I190</f>
        <v>1.62770440272067</v>
      </c>
      <c r="J191" s="47" t="n">
        <f aca="false">$B$184-J190</f>
        <v>1.62770440272067</v>
      </c>
      <c r="K191" s="47" t="n">
        <f aca="false">$B$184-K190</f>
        <v>1.62770440272067</v>
      </c>
      <c r="L191" s="47" t="n">
        <f aca="false">$B$184-L190</f>
        <v>1.62093313596638</v>
      </c>
      <c r="M191" s="47" t="n">
        <f aca="false">$B$184-M190</f>
        <v>1.56259622661184</v>
      </c>
      <c r="N191" s="47" t="n">
        <f aca="false">$B$184-N190</f>
        <v>1.56259622661184</v>
      </c>
      <c r="O191" s="47" t="n">
        <f aca="false">$B$184-O190</f>
        <v>1.56259622661184</v>
      </c>
      <c r="P191" s="47" t="n">
        <f aca="false">$B$184-P190</f>
        <v>1.56259622661184</v>
      </c>
      <c r="Q191" s="47" t="n">
        <f aca="false">$B$184-Q190</f>
        <v>1.56259622661184</v>
      </c>
      <c r="R191" s="47" t="n">
        <f aca="false">$B$184-R190</f>
        <v>1.56259622661184</v>
      </c>
      <c r="S191" s="47" t="n">
        <f aca="false">$B$184-S190</f>
        <v>1.56259622661184</v>
      </c>
      <c r="T191" s="47" t="n">
        <f aca="false">$B$184-T190</f>
        <v>1.56259622661184</v>
      </c>
      <c r="U191" s="47" t="n">
        <f aca="false">$B$184-U190</f>
        <v>1.56259622661184</v>
      </c>
      <c r="V191" s="47" t="n">
        <f aca="false">$B$184-V190</f>
        <v>1.56259622661184</v>
      </c>
      <c r="W191" s="47" t="n">
        <f aca="false">$B$184-W190</f>
        <v>1.56259622661184</v>
      </c>
      <c r="X191" s="47" t="n">
        <f aca="false">$B$184-X190</f>
        <v>1.56259622661184</v>
      </c>
      <c r="Y191" s="47" t="n">
        <f aca="false">$B$184-Y190</f>
        <v>1.56259622661184</v>
      </c>
      <c r="Z191" s="47" t="n">
        <f aca="false">$B$184-Z190</f>
        <v>1.56259622661184</v>
      </c>
      <c r="AA191" s="47" t="n">
        <f aca="false">$B$184-AA190</f>
        <v>1.56259622661184</v>
      </c>
      <c r="AB191" s="47" t="n">
        <f aca="false">$B$184-AB190</f>
        <v>1.56259622661184</v>
      </c>
      <c r="AC191" s="47" t="n">
        <f aca="false">$B$184-AC190</f>
        <v>1.56259622661184</v>
      </c>
      <c r="AD191" s="47" t="n">
        <f aca="false">$B$184-AD190</f>
        <v>1.56259622661184</v>
      </c>
      <c r="AE191" s="47" t="n">
        <f aca="false">$B$184-AE190</f>
        <v>1.56259622661184</v>
      </c>
      <c r="AF191" s="47" t="n">
        <f aca="false">$B$184-AF190</f>
        <v>1.56259622661184</v>
      </c>
      <c r="AG191" s="47" t="n">
        <f aca="false">$B$184-AG190</f>
        <v>1.56259622661184</v>
      </c>
      <c r="AH191" s="47" t="n">
        <f aca="false">$B$184-AH190</f>
        <v>1.56259622661184</v>
      </c>
      <c r="AI191" s="47" t="n">
        <f aca="false">$B$184-AI190</f>
        <v>1.56259622661184</v>
      </c>
      <c r="AJ191" s="47" t="n">
        <f aca="false">$B$184-AJ190</f>
        <v>1.56259622661184</v>
      </c>
      <c r="AK191" s="47" t="n">
        <f aca="false">$B$184-AK190</f>
        <v>1.56259622661184</v>
      </c>
    </row>
    <row r="192" customFormat="false" ht="15" hidden="false" customHeight="false" outlineLevel="0" collapsed="false">
      <c r="A192" s="10" t="s">
        <v>580</v>
      </c>
      <c r="G192" s="47" t="n">
        <f aca="false">$F$143</f>
        <v>4.17803647782346</v>
      </c>
      <c r="H192" s="47" t="n">
        <f aca="false">G192</f>
        <v>4.17803647782346</v>
      </c>
      <c r="I192" s="47" t="n">
        <f aca="false">H192-H193</f>
        <v>2.87587295564693</v>
      </c>
      <c r="J192" s="47" t="n">
        <f aca="false">I192-I193</f>
        <v>1.57370943347039</v>
      </c>
      <c r="K192" s="47" t="n">
        <f aca="false">J192-J193</f>
        <v>0.271545911293853</v>
      </c>
      <c r="L192" s="47" t="n">
        <f aca="false">K192-K193</f>
        <v>0</v>
      </c>
      <c r="M192" s="47" t="n">
        <f aca="false">L192-L193</f>
        <v>0</v>
      </c>
      <c r="N192" s="47" t="n">
        <f aca="false">M192-M193</f>
        <v>0</v>
      </c>
      <c r="O192" s="47" t="n">
        <f aca="false">N192-N193</f>
        <v>0</v>
      </c>
      <c r="P192" s="47" t="n">
        <f aca="false">O192-O193</f>
        <v>0</v>
      </c>
      <c r="Q192" s="47" t="n">
        <f aca="false">P192-P193</f>
        <v>0</v>
      </c>
      <c r="R192" s="47" t="n">
        <f aca="false">Q192-Q193</f>
        <v>0</v>
      </c>
      <c r="S192" s="47" t="n">
        <f aca="false">R192-R193</f>
        <v>0</v>
      </c>
      <c r="T192" s="47" t="n">
        <f aca="false">S192-S193</f>
        <v>0</v>
      </c>
      <c r="U192" s="47" t="n">
        <f aca="false">T192-T193</f>
        <v>0</v>
      </c>
      <c r="V192" s="47" t="n">
        <f aca="false">U192-U193</f>
        <v>0</v>
      </c>
      <c r="W192" s="47" t="n">
        <f aca="false">V192-V193</f>
        <v>0</v>
      </c>
      <c r="X192" s="47" t="n">
        <f aca="false">W192-W193</f>
        <v>0</v>
      </c>
      <c r="Y192" s="47" t="n">
        <f aca="false">X192-X193</f>
        <v>0</v>
      </c>
      <c r="Z192" s="47" t="n">
        <f aca="false">Y192-Y193</f>
        <v>0</v>
      </c>
      <c r="AA192" s="47" t="n">
        <f aca="false">Z192-Z193</f>
        <v>0</v>
      </c>
      <c r="AB192" s="47" t="n">
        <f aca="false">AA192-AA193</f>
        <v>0</v>
      </c>
      <c r="AC192" s="47" t="n">
        <f aca="false">AB192-AB193</f>
        <v>0</v>
      </c>
      <c r="AD192" s="47" t="n">
        <f aca="false">AC192-AC193</f>
        <v>0</v>
      </c>
      <c r="AE192" s="47" t="n">
        <f aca="false">AD192-AD193</f>
        <v>0</v>
      </c>
      <c r="AF192" s="47" t="n">
        <f aca="false">AE192-AE193</f>
        <v>0</v>
      </c>
      <c r="AG192" s="47" t="n">
        <f aca="false">AF192-AF193</f>
        <v>0</v>
      </c>
      <c r="AH192" s="47" t="n">
        <f aca="false">AG192-AG193</f>
        <v>0</v>
      </c>
      <c r="AI192" s="47" t="n">
        <f aca="false">AH192-AH193</f>
        <v>0</v>
      </c>
      <c r="AJ192" s="47" t="n">
        <f aca="false">AI192-AI193</f>
        <v>0</v>
      </c>
      <c r="AK192" s="47" t="n">
        <f aca="false">AJ192-AJ193</f>
        <v>0</v>
      </c>
    </row>
    <row r="193" customFormat="false" ht="15" hidden="false" customHeight="false" outlineLevel="0" collapsed="false">
      <c r="A193" s="10" t="s">
        <v>581</v>
      </c>
      <c r="H193" s="47" t="n">
        <f aca="false">MIN(H192,Inputs!$B$35*H191,1E+099)</f>
        <v>1.30216352217654</v>
      </c>
      <c r="I193" s="47" t="n">
        <f aca="false">MIN(I192,Inputs!$B$35*I191,1E+099)</f>
        <v>1.30216352217654</v>
      </c>
      <c r="J193" s="47" t="n">
        <f aca="false">MIN(J192,Inputs!$B$35*J191,1E+099)</f>
        <v>1.30216352217654</v>
      </c>
      <c r="K193" s="47" t="n">
        <f aca="false">MIN(K192,Inputs!$B$35*K191,1E+099)</f>
        <v>0.271545911293853</v>
      </c>
      <c r="L193" s="47" t="n">
        <f aca="false">MIN(L192,Inputs!$B$35*L191,1E+099)</f>
        <v>0</v>
      </c>
      <c r="M193" s="47" t="n">
        <f aca="false">MIN(M192,Inputs!$B$35*M191,1E+099)</f>
        <v>0</v>
      </c>
      <c r="N193" s="47" t="n">
        <f aca="false">MIN(N192,Inputs!$B$35*N191,1E+099)</f>
        <v>0</v>
      </c>
      <c r="O193" s="47" t="n">
        <f aca="false">MIN(O192,Inputs!$B$35*O191,1E+099)</f>
        <v>0</v>
      </c>
      <c r="P193" s="47" t="n">
        <f aca="false">MIN(P192,Inputs!$B$35*P191,1E+099)</f>
        <v>0</v>
      </c>
      <c r="Q193" s="47" t="n">
        <f aca="false">MIN(Q192,Inputs!$B$35*Q191,1E+099)</f>
        <v>0</v>
      </c>
      <c r="R193" s="47" t="n">
        <f aca="false">MIN(R192,Inputs!$B$35*R191,1E+099)</f>
        <v>0</v>
      </c>
      <c r="S193" s="47" t="n">
        <f aca="false">MIN(S192,Inputs!$B$35*S191,1E+099)</f>
        <v>0</v>
      </c>
      <c r="T193" s="47" t="n">
        <f aca="false">MIN(T192,Inputs!$B$35*T191,1E+099)</f>
        <v>0</v>
      </c>
      <c r="U193" s="47" t="n">
        <f aca="false">MIN(U192,Inputs!$B$35*U191,1E+099)</f>
        <v>0</v>
      </c>
      <c r="V193" s="47" t="n">
        <f aca="false">MIN(V192,Inputs!$B$35*V191,1E+099)</f>
        <v>0</v>
      </c>
      <c r="W193" s="47" t="n">
        <f aca="false">MIN(W192,Inputs!$B$35*W191,1E+099)</f>
        <v>0</v>
      </c>
      <c r="X193" s="47" t="n">
        <f aca="false">MIN(X192,Inputs!$B$35*X191,1E+099)</f>
        <v>0</v>
      </c>
      <c r="Y193" s="47" t="n">
        <f aca="false">MIN(Y192,Inputs!$B$35*Y191,1E+099)</f>
        <v>0</v>
      </c>
      <c r="Z193" s="47" t="n">
        <f aca="false">MIN(Z192,Inputs!$B$35*Z191,1E+099)</f>
        <v>0</v>
      </c>
      <c r="AA193" s="47" t="n">
        <f aca="false">MIN(AA192,Inputs!$B$35*AA191,1E+099)</f>
        <v>0</v>
      </c>
      <c r="AB193" s="47" t="n">
        <f aca="false">MIN(AB192,Inputs!$B$35*AB191,1E+099)</f>
        <v>0</v>
      </c>
      <c r="AC193" s="47" t="n">
        <f aca="false">MIN(AC192,Inputs!$B$35*AC191,1E+099)</f>
        <v>0</v>
      </c>
      <c r="AD193" s="47" t="n">
        <f aca="false">MIN(AD192,Inputs!$B$35*AD191,1E+099)</f>
        <v>0</v>
      </c>
      <c r="AE193" s="47" t="n">
        <f aca="false">MIN(AE192,Inputs!$B$35*AE191,1E+099)</f>
        <v>0</v>
      </c>
      <c r="AF193" s="47" t="n">
        <f aca="false">MIN(AF192,Inputs!$B$35*AF191,1E+099)</f>
        <v>0</v>
      </c>
      <c r="AG193" s="47" t="n">
        <f aca="false">MIN(AG192,Inputs!$B$35*AG191,1E+099)</f>
        <v>0</v>
      </c>
      <c r="AH193" s="47" t="n">
        <f aca="false">MIN(AH192,Inputs!$B$35*AH191,1E+099)</f>
        <v>0</v>
      </c>
      <c r="AI193" s="47" t="n">
        <f aca="false">MIN(AI192,Inputs!$B$35*AI191,1E+099)</f>
        <v>0</v>
      </c>
      <c r="AJ193" s="47" t="n">
        <f aca="false">MIN(AJ192,Inputs!$B$35*AJ191,1E+099)</f>
        <v>0</v>
      </c>
      <c r="AK193" s="47" t="n">
        <f aca="false">MIN(AK192,Inputs!$B$35*AK191,1E+099)</f>
        <v>0</v>
      </c>
    </row>
    <row r="194" customFormat="false" ht="15" hidden="false" customHeight="false" outlineLevel="0" collapsed="false">
      <c r="A194" s="10" t="s">
        <v>582</v>
      </c>
      <c r="G194" s="47" t="n">
        <f aca="false">$F$144</f>
        <v>4.11674474746666</v>
      </c>
      <c r="H194" s="47" t="n">
        <f aca="false">G194</f>
        <v>4.11674474746666</v>
      </c>
      <c r="I194" s="47" t="n">
        <f aca="false">H194-H195</f>
        <v>4.11674474746666</v>
      </c>
      <c r="J194" s="47" t="n">
        <f aca="false">I194-I195</f>
        <v>4.11674474746666</v>
      </c>
      <c r="K194" s="47" t="n">
        <f aca="false">J194-J195</f>
        <v>4.11674474746666</v>
      </c>
      <c r="L194" s="47" t="n">
        <f aca="false">K194-K195</f>
        <v>3.08612713658397</v>
      </c>
      <c r="M194" s="47" t="n">
        <f aca="false">L194-L195</f>
        <v>1.78938062781087</v>
      </c>
      <c r="N194" s="47" t="n">
        <f aca="false">M194-M195</f>
        <v>0.539303646521398</v>
      </c>
      <c r="O194" s="47" t="n">
        <f aca="false">N194-N195</f>
        <v>0</v>
      </c>
      <c r="P194" s="47" t="n">
        <f aca="false">O194-O195</f>
        <v>0</v>
      </c>
      <c r="Q194" s="47" t="n">
        <f aca="false">P194-P195</f>
        <v>0</v>
      </c>
      <c r="R194" s="47" t="n">
        <f aca="false">Q194-Q195</f>
        <v>0</v>
      </c>
      <c r="S194" s="47" t="n">
        <f aca="false">R194-R195</f>
        <v>0</v>
      </c>
      <c r="T194" s="47" t="n">
        <f aca="false">S194-S195</f>
        <v>0</v>
      </c>
      <c r="U194" s="47" t="n">
        <f aca="false">T194-T195</f>
        <v>0</v>
      </c>
      <c r="V194" s="47" t="n">
        <f aca="false">U194-U195</f>
        <v>0</v>
      </c>
      <c r="W194" s="47" t="n">
        <f aca="false">V194-V195</f>
        <v>0</v>
      </c>
      <c r="X194" s="47" t="n">
        <f aca="false">W194-W195</f>
        <v>0</v>
      </c>
      <c r="Y194" s="47" t="n">
        <f aca="false">X194-X195</f>
        <v>0</v>
      </c>
      <c r="Z194" s="47" t="n">
        <f aca="false">Y194-Y195</f>
        <v>0</v>
      </c>
      <c r="AA194" s="47" t="n">
        <f aca="false">Z194-Z195</f>
        <v>0</v>
      </c>
      <c r="AB194" s="47" t="n">
        <f aca="false">AA194-AA195</f>
        <v>0</v>
      </c>
      <c r="AC194" s="47" t="n">
        <f aca="false">AB194-AB195</f>
        <v>0</v>
      </c>
      <c r="AD194" s="47" t="n">
        <f aca="false">AC194-AC195</f>
        <v>0</v>
      </c>
      <c r="AE194" s="47" t="n">
        <f aca="false">AD194-AD195</f>
        <v>0</v>
      </c>
      <c r="AF194" s="47" t="n">
        <f aca="false">AE194-AE195</f>
        <v>0</v>
      </c>
      <c r="AG194" s="47" t="n">
        <f aca="false">AF194-AF195</f>
        <v>0</v>
      </c>
      <c r="AH194" s="47" t="n">
        <f aca="false">AG194-AG195</f>
        <v>0</v>
      </c>
      <c r="AI194" s="47" t="n">
        <f aca="false">AH194-AH195</f>
        <v>0</v>
      </c>
      <c r="AJ194" s="47" t="n">
        <f aca="false">AI194-AI195</f>
        <v>0</v>
      </c>
      <c r="AK194" s="47" t="n">
        <f aca="false">AJ194-AJ195</f>
        <v>0</v>
      </c>
    </row>
    <row r="195" customFormat="false" ht="15" hidden="false" customHeight="false" outlineLevel="0" collapsed="false">
      <c r="A195" s="10" t="s">
        <v>576</v>
      </c>
      <c r="H195" s="47" t="n">
        <f aca="false">MIN(H194,Inputs!$B$35*H191-H193)</f>
        <v>0</v>
      </c>
      <c r="I195" s="47" t="n">
        <f aca="false">MIN(I194,Inputs!$B$35*I191-I193)</f>
        <v>0</v>
      </c>
      <c r="J195" s="47" t="n">
        <f aca="false">MIN(J194,Inputs!$B$35*J191-J193)</f>
        <v>0</v>
      </c>
      <c r="K195" s="47" t="n">
        <f aca="false">MIN(K194,Inputs!$B$35*K191-K193)</f>
        <v>1.03061761088268</v>
      </c>
      <c r="L195" s="47" t="n">
        <f aca="false">MIN(L194,Inputs!$B$35*L191-L193)</f>
        <v>1.2967465087731</v>
      </c>
      <c r="M195" s="47" t="n">
        <f aca="false">MIN(M194,Inputs!$B$35*M191-M193)</f>
        <v>1.25007698128948</v>
      </c>
      <c r="N195" s="47" t="n">
        <f aca="false">MIN(N194,Inputs!$B$35*N191-N193)</f>
        <v>0.539303646521398</v>
      </c>
      <c r="O195" s="47" t="n">
        <f aca="false">MIN(O194,Inputs!$B$35*O191-O193)</f>
        <v>0</v>
      </c>
      <c r="P195" s="47" t="n">
        <f aca="false">MIN(P194,Inputs!$B$35*P191-P193)</f>
        <v>0</v>
      </c>
      <c r="Q195" s="47" t="n">
        <f aca="false">MIN(Q194,Inputs!$B$35*Q191-Q193)</f>
        <v>0</v>
      </c>
      <c r="R195" s="47" t="n">
        <f aca="false">MIN(R194,Inputs!$B$35*R191-R193)</f>
        <v>0</v>
      </c>
      <c r="S195" s="47" t="n">
        <f aca="false">MIN(S194,Inputs!$B$35*S191-S193)</f>
        <v>0</v>
      </c>
      <c r="T195" s="47" t="n">
        <f aca="false">MIN(T194,Inputs!$B$35*T191-T193)</f>
        <v>0</v>
      </c>
      <c r="U195" s="47" t="n">
        <f aca="false">MIN(U194,Inputs!$B$35*U191-U193)</f>
        <v>0</v>
      </c>
      <c r="V195" s="47" t="n">
        <f aca="false">MIN(V194,Inputs!$B$35*V191-V193)</f>
        <v>0</v>
      </c>
      <c r="W195" s="47" t="n">
        <f aca="false">MIN(W194,Inputs!$B$35*W191-W193)</f>
        <v>0</v>
      </c>
      <c r="X195" s="47" t="n">
        <f aca="false">MIN(X194,Inputs!$B$35*X191-X193)</f>
        <v>0</v>
      </c>
      <c r="Y195" s="47" t="n">
        <f aca="false">MIN(Y194,Inputs!$B$35*Y191-Y193)</f>
        <v>0</v>
      </c>
      <c r="Z195" s="47" t="n">
        <f aca="false">MIN(Z194,Inputs!$B$35*Z191-Z193)</f>
        <v>0</v>
      </c>
      <c r="AA195" s="47" t="n">
        <f aca="false">MIN(AA194,Inputs!$B$35*AA191-AA193)</f>
        <v>0</v>
      </c>
      <c r="AB195" s="47" t="n">
        <f aca="false">MIN(AB194,Inputs!$B$35*AB191-AB193)</f>
        <v>0</v>
      </c>
      <c r="AC195" s="47" t="n">
        <f aca="false">MIN(AC194,Inputs!$B$35*AC191-AC193)</f>
        <v>0</v>
      </c>
      <c r="AD195" s="47" t="n">
        <f aca="false">MIN(AD194,Inputs!$B$35*AD191-AD193)</f>
        <v>0</v>
      </c>
      <c r="AE195" s="47" t="n">
        <f aca="false">MIN(AE194,Inputs!$B$35*AE191-AE193)</f>
        <v>0</v>
      </c>
      <c r="AF195" s="47" t="n">
        <f aca="false">MIN(AF194,Inputs!$B$35*AF191-AF193)</f>
        <v>0</v>
      </c>
      <c r="AG195" s="47" t="n">
        <f aca="false">MIN(AG194,Inputs!$B$35*AG191-AG193)</f>
        <v>0</v>
      </c>
      <c r="AH195" s="47" t="n">
        <f aca="false">MIN(AH194,Inputs!$B$35*AH191-AH193)</f>
        <v>0</v>
      </c>
      <c r="AI195" s="47" t="n">
        <f aca="false">MIN(AI194,Inputs!$B$35*AI191-AI193)</f>
        <v>0</v>
      </c>
      <c r="AJ195" s="47" t="n">
        <f aca="false">MIN(AJ194,Inputs!$B$35*AJ191-AJ193)</f>
        <v>0</v>
      </c>
      <c r="AK195" s="47" t="n">
        <f aca="false">MIN(AK194,Inputs!$B$35*AK191-AK193)</f>
        <v>0</v>
      </c>
    </row>
    <row r="196" customFormat="false" ht="15" hidden="false" customHeight="false" outlineLevel="0" collapsed="false">
      <c r="A196" s="10" t="s">
        <v>583</v>
      </c>
      <c r="H196" s="47" t="n">
        <f aca="false">(H191-H193-H195)*Inputs!$B$33</f>
        <v>0.0683635849142681</v>
      </c>
      <c r="I196" s="47" t="n">
        <f aca="false">(I191-I193-I195)*Inputs!$B$33</f>
        <v>0.0683635849142681</v>
      </c>
      <c r="J196" s="47" t="n">
        <f aca="false">(J191-J193-J195)*Inputs!$B$33</f>
        <v>0.0683635849142681</v>
      </c>
      <c r="K196" s="47" t="n">
        <f aca="false">(K191-K193-K195)*Inputs!$B$33</f>
        <v>0.0683635849142681</v>
      </c>
      <c r="L196" s="47" t="n">
        <f aca="false">(L191-L193-L195)*Inputs!$B$33</f>
        <v>0.0680791917105878</v>
      </c>
      <c r="M196" s="47" t="n">
        <f aca="false">(M191-M193-M195)*Inputs!$B$33</f>
        <v>0.0656290415176974</v>
      </c>
      <c r="N196" s="47" t="n">
        <f aca="false">(N191-N193-N195)*Inputs!$B$33</f>
        <v>0.214891441818994</v>
      </c>
      <c r="O196" s="47" t="n">
        <f aca="false">(O191-O193-O195)*Inputs!$B$33</f>
        <v>0.328145207588487</v>
      </c>
      <c r="P196" s="47" t="n">
        <f aca="false">(P191-P193-P195)*Inputs!$B$33</f>
        <v>0.328145207588487</v>
      </c>
      <c r="Q196" s="47" t="n">
        <f aca="false">(Q191-Q193-Q195)*Inputs!$B$33</f>
        <v>0.328145207588487</v>
      </c>
      <c r="R196" s="47" t="n">
        <f aca="false">(R191-R193-R195)*Inputs!$B$33</f>
        <v>0.328145207588487</v>
      </c>
      <c r="S196" s="47" t="n">
        <f aca="false">(S191-S193-S195)*Inputs!$B$33</f>
        <v>0.328145207588487</v>
      </c>
      <c r="T196" s="47" t="n">
        <f aca="false">(T191-T193-T195)*Inputs!$B$33</f>
        <v>0.328145207588487</v>
      </c>
      <c r="U196" s="47" t="n">
        <f aca="false">(U191-U193-U195)*Inputs!$B$33</f>
        <v>0.328145207588487</v>
      </c>
      <c r="V196" s="47" t="n">
        <f aca="false">(V191-V193-V195)*Inputs!$B$33</f>
        <v>0.328145207588487</v>
      </c>
      <c r="W196" s="47" t="n">
        <f aca="false">(W191-W193-W195)*Inputs!$B$33</f>
        <v>0.328145207588487</v>
      </c>
      <c r="X196" s="47" t="n">
        <f aca="false">(X191-X193-X195)*Inputs!$B$33</f>
        <v>0.328145207588487</v>
      </c>
      <c r="Y196" s="47" t="n">
        <f aca="false">(Y191-Y193-Y195)*Inputs!$B$33</f>
        <v>0.328145207588487</v>
      </c>
      <c r="Z196" s="47" t="n">
        <f aca="false">(Z191-Z193-Z195)*Inputs!$B$33</f>
        <v>0.328145207588487</v>
      </c>
      <c r="AA196" s="47" t="n">
        <f aca="false">(AA191-AA193-AA195)*Inputs!$B$33</f>
        <v>0.328145207588487</v>
      </c>
      <c r="AB196" s="47" t="n">
        <f aca="false">(AB191-AB193-AB195)*Inputs!$B$33</f>
        <v>0.328145207588487</v>
      </c>
      <c r="AC196" s="47" t="n">
        <f aca="false">(AC191-AC193-AC195)*Inputs!$B$33</f>
        <v>0.328145207588487</v>
      </c>
      <c r="AD196" s="47" t="n">
        <f aca="false">(AD191-AD193-AD195)*Inputs!$B$33</f>
        <v>0.328145207588487</v>
      </c>
      <c r="AE196" s="47" t="n">
        <f aca="false">(AE191-AE193-AE195)*Inputs!$B$33</f>
        <v>0.328145207588487</v>
      </c>
      <c r="AF196" s="47" t="n">
        <f aca="false">(AF191-AF193-AF195)*Inputs!$B$33</f>
        <v>0.328145207588487</v>
      </c>
      <c r="AG196" s="47" t="n">
        <f aca="false">(AG191-AG193-AG195)*Inputs!$B$33</f>
        <v>0.328145207588487</v>
      </c>
      <c r="AH196" s="47" t="n">
        <f aca="false">(AH191-AH193-AH195)*Inputs!$B$33</f>
        <v>0.328145207588487</v>
      </c>
      <c r="AI196" s="47" t="n">
        <f aca="false">(AI191-AI193-AI195)*Inputs!$B$33</f>
        <v>0.328145207588487</v>
      </c>
      <c r="AJ196" s="47" t="n">
        <f aca="false">(AJ191-AJ193-AJ195)*Inputs!$B$33</f>
        <v>0.328145207588487</v>
      </c>
      <c r="AK196" s="47" t="n">
        <f aca="false">(AK191-AK193-AK195)*Inputs!$B$33</f>
        <v>0.328145207588487</v>
      </c>
    </row>
    <row r="197" customFormat="false" ht="15" hidden="false" customHeight="false" outlineLevel="0" collapsed="false">
      <c r="A197" s="10" t="s">
        <v>584</v>
      </c>
      <c r="G197" s="47" t="n">
        <f aca="false">$F$147</f>
        <v>0</v>
      </c>
      <c r="H197" s="47" t="n">
        <f aca="false">G197</f>
        <v>0</v>
      </c>
      <c r="I197" s="47" t="n">
        <f aca="false">H197-H198</f>
        <v>0</v>
      </c>
      <c r="J197" s="47" t="n">
        <f aca="false">I197-I198</f>
        <v>0</v>
      </c>
      <c r="K197" s="47" t="n">
        <f aca="false">J197-J198</f>
        <v>0</v>
      </c>
      <c r="L197" s="47" t="n">
        <f aca="false">K197-K198</f>
        <v>0</v>
      </c>
      <c r="M197" s="47" t="n">
        <f aca="false">L197-L198</f>
        <v>0</v>
      </c>
      <c r="N197" s="47" t="n">
        <f aca="false">M197-M198</f>
        <v>0</v>
      </c>
      <c r="O197" s="47" t="n">
        <f aca="false">N197-N198</f>
        <v>0</v>
      </c>
      <c r="P197" s="47" t="n">
        <f aca="false">O197-O198</f>
        <v>0</v>
      </c>
      <c r="Q197" s="47" t="n">
        <f aca="false">P197-P198</f>
        <v>0</v>
      </c>
      <c r="R197" s="47" t="n">
        <f aca="false">Q197-Q198</f>
        <v>0</v>
      </c>
      <c r="S197" s="47" t="n">
        <f aca="false">R197-R198</f>
        <v>0</v>
      </c>
      <c r="T197" s="47" t="n">
        <f aca="false">S197-S198</f>
        <v>0</v>
      </c>
      <c r="U197" s="47" t="n">
        <f aca="false">T197-T198</f>
        <v>0</v>
      </c>
      <c r="V197" s="47" t="n">
        <f aca="false">U197-U198</f>
        <v>0</v>
      </c>
      <c r="W197" s="47" t="n">
        <f aca="false">V197-V198</f>
        <v>0</v>
      </c>
      <c r="X197" s="47" t="n">
        <f aca="false">W197-W198</f>
        <v>0</v>
      </c>
      <c r="Y197" s="47" t="n">
        <f aca="false">X197-X198</f>
        <v>0</v>
      </c>
      <c r="Z197" s="47" t="n">
        <f aca="false">Y197-Y198</f>
        <v>0</v>
      </c>
      <c r="AA197" s="47" t="n">
        <f aca="false">Z197-Z198</f>
        <v>0</v>
      </c>
      <c r="AB197" s="47" t="n">
        <f aca="false">AA197-AA198</f>
        <v>0</v>
      </c>
      <c r="AC197" s="47" t="n">
        <f aca="false">AB197-AB198</f>
        <v>0</v>
      </c>
      <c r="AD197" s="47" t="n">
        <f aca="false">AC197-AC198</f>
        <v>0</v>
      </c>
      <c r="AE197" s="47" t="n">
        <f aca="false">AD197-AD198</f>
        <v>0</v>
      </c>
      <c r="AF197" s="47" t="n">
        <f aca="false">AE197-AE198</f>
        <v>0</v>
      </c>
      <c r="AG197" s="47" t="n">
        <f aca="false">AF197-AF198</f>
        <v>0</v>
      </c>
      <c r="AH197" s="47" t="n">
        <f aca="false">AG197-AG198</f>
        <v>0</v>
      </c>
      <c r="AI197" s="47" t="n">
        <f aca="false">AH197-AH198</f>
        <v>0</v>
      </c>
      <c r="AJ197" s="47" t="n">
        <f aca="false">AI197-AI198</f>
        <v>0</v>
      </c>
      <c r="AK197" s="47" t="n">
        <f aca="false">AJ197-AJ198</f>
        <v>0</v>
      </c>
    </row>
    <row r="198" customFormat="false" ht="15" hidden="false" customHeight="false" outlineLevel="0" collapsed="false">
      <c r="A198" s="10" t="s">
        <v>585</v>
      </c>
      <c r="H198" s="47" t="n">
        <f aca="false">IF(1&lt;=Inputs!$B$43,MIN(H197,H196,MAX(0,1E+099-H193)*Inputs!$B$33),0)</f>
        <v>0</v>
      </c>
      <c r="I198" s="47" t="n">
        <f aca="false">IF(2&lt;=Inputs!$B$43,MIN(I197,I196,MAX(0,1E+099-I193)*Inputs!$B$33),0)</f>
        <v>0</v>
      </c>
      <c r="J198" s="47" t="n">
        <f aca="false">IF(3&lt;=Inputs!$B$43,MIN(J197,J196,MAX(0,1E+099-J193)*Inputs!$B$33),0)</f>
        <v>0</v>
      </c>
      <c r="K198" s="47" t="n">
        <f aca="false">IF(4&lt;=Inputs!$B$43,MIN(K197,K196,MAX(0,1E+099-K193)*Inputs!$B$33),0)</f>
        <v>0</v>
      </c>
      <c r="L198" s="47" t="n">
        <f aca="false">IF(5&lt;=Inputs!$B$43,MIN(L197,L196,MAX(0,1E+099-L193)*Inputs!$B$33),0)</f>
        <v>0</v>
      </c>
      <c r="M198" s="47" t="n">
        <f aca="false">IF(6&lt;=Inputs!$B$43,MIN(M197,M196,MAX(0,1E+099-M193)*Inputs!$B$33),0)</f>
        <v>0</v>
      </c>
      <c r="N198" s="47" t="n">
        <f aca="false">IF(7&lt;=Inputs!$B$43,MIN(N197,N196,MAX(0,1E+099-N193)*Inputs!$B$33),0)</f>
        <v>0</v>
      </c>
      <c r="O198" s="47" t="n">
        <f aca="false">IF(8&lt;=Inputs!$B$43,MIN(O197,O196,MAX(0,1E+099-O193)*Inputs!$B$33),0)</f>
        <v>0</v>
      </c>
      <c r="P198" s="47" t="n">
        <f aca="false">IF(9&lt;=Inputs!$B$43,MIN(P197,P196,MAX(0,1E+099-P193)*Inputs!$B$33),0)</f>
        <v>0</v>
      </c>
      <c r="Q198" s="47" t="n">
        <f aca="false">IF(10&lt;=Inputs!$B$43,MIN(Q197,Q196,MAX(0,1E+099-Q193)*Inputs!$B$33),0)</f>
        <v>0</v>
      </c>
      <c r="R198" s="47" t="n">
        <f aca="false">IF(11&lt;=Inputs!$B$43,MIN(R197,R196,MAX(0,1E+099-R193)*Inputs!$B$33),0)</f>
        <v>0</v>
      </c>
      <c r="S198" s="47" t="n">
        <f aca="false">IF(12&lt;=Inputs!$B$43,MIN(S197,S196,MAX(0,1E+099-S193)*Inputs!$B$33),0)</f>
        <v>0</v>
      </c>
      <c r="T198" s="47" t="n">
        <f aca="false">IF(13&lt;=Inputs!$B$43,MIN(T197,T196,MAX(0,1E+099-T193)*Inputs!$B$33),0)</f>
        <v>0</v>
      </c>
      <c r="U198" s="47" t="n">
        <f aca="false">IF(14&lt;=Inputs!$B$43,MIN(U197,U196,MAX(0,1E+099-U193)*Inputs!$B$33),0)</f>
        <v>0</v>
      </c>
      <c r="V198" s="47" t="n">
        <f aca="false">IF(15&lt;=Inputs!$B$43,MIN(V197,V196,MAX(0,1E+099-V193)*Inputs!$B$33),0)</f>
        <v>0</v>
      </c>
      <c r="W198" s="47" t="n">
        <f aca="false">IF(16&lt;=Inputs!$B$43,MIN(W197,W196,MAX(0,1E+099-W193)*Inputs!$B$33),0)</f>
        <v>0</v>
      </c>
      <c r="X198" s="47" t="n">
        <f aca="false">IF(17&lt;=Inputs!$B$43,MIN(X197,X196,MAX(0,1E+099-X193)*Inputs!$B$33),0)</f>
        <v>0</v>
      </c>
      <c r="Y198" s="47" t="n">
        <f aca="false">IF(18&lt;=Inputs!$B$43,MIN(Y197,Y196,MAX(0,1E+099-Y193)*Inputs!$B$33),0)</f>
        <v>0</v>
      </c>
      <c r="Z198" s="47" t="n">
        <f aca="false">IF(19&lt;=Inputs!$B$43,MIN(Z197,Z196,MAX(0,1E+099-Z193)*Inputs!$B$33),0)</f>
        <v>0</v>
      </c>
      <c r="AA198" s="47" t="n">
        <f aca="false">IF(20&lt;=Inputs!$B$43,MIN(AA197,AA196,MAX(0,1E+099-AA193)*Inputs!$B$33),0)</f>
        <v>0</v>
      </c>
      <c r="AB198" s="47" t="n">
        <f aca="false">IF(21&lt;=Inputs!$B$43,MIN(AB197,AB196,MAX(0,1E+099-AB193)*Inputs!$B$33),0)</f>
        <v>0</v>
      </c>
      <c r="AC198" s="47" t="n">
        <f aca="false">IF(22&lt;=Inputs!$B$43,MIN(AC197,AC196,MAX(0,1E+099-AC193)*Inputs!$B$33),0)</f>
        <v>0</v>
      </c>
      <c r="AD198" s="47" t="n">
        <f aca="false">IF(23&lt;=Inputs!$B$43,MIN(AD197,AD196,MAX(0,1E+099-AD193)*Inputs!$B$33),0)</f>
        <v>0</v>
      </c>
      <c r="AE198" s="47" t="n">
        <f aca="false">IF(24&lt;=Inputs!$B$43,MIN(AE197,AE196,MAX(0,1E+099-AE193)*Inputs!$B$33),0)</f>
        <v>0</v>
      </c>
      <c r="AF198" s="47" t="n">
        <f aca="false">IF(25&lt;=Inputs!$B$43,MIN(AF197,AF196,MAX(0,1E+099-AF193)*Inputs!$B$33),0)</f>
        <v>0</v>
      </c>
      <c r="AG198" s="47" t="n">
        <f aca="false">IF(26&lt;=Inputs!$B$43,MIN(AG197,AG196,MAX(0,1E+099-AG193)*Inputs!$B$33),0)</f>
        <v>0</v>
      </c>
      <c r="AH198" s="47" t="n">
        <f aca="false">IF(27&lt;=Inputs!$B$43,MIN(AH197,AH196,MAX(0,1E+099-AH193)*Inputs!$B$33),0)</f>
        <v>0</v>
      </c>
      <c r="AI198" s="47" t="n">
        <f aca="false">IF(28&lt;=Inputs!$B$43,MIN(AI197,AI196,MAX(0,1E+099-AI193)*Inputs!$B$33),0)</f>
        <v>0</v>
      </c>
      <c r="AJ198" s="47" t="n">
        <f aca="false">IF(29&lt;=Inputs!$B$43,MIN(AJ197,AJ196,MAX(0,1E+099-AJ193)*Inputs!$B$33),0)</f>
        <v>0</v>
      </c>
      <c r="AK198" s="47" t="n">
        <f aca="false">IF(30&lt;=Inputs!$B$43,MIN(AK197,AK196,MAX(0,1E+099-AK193)*Inputs!$B$33),0)</f>
        <v>0</v>
      </c>
    </row>
    <row r="199" customFormat="false" ht="15" hidden="false" customHeight="false" outlineLevel="0" collapsed="false">
      <c r="A199" s="10" t="s">
        <v>586</v>
      </c>
      <c r="H199" s="47" t="n">
        <f aca="false">($B$184*Inputs!$B$34+($B$184-$B$184*Inputs!$B$34)*Inputs!$B$33)-(H190+H196-H198)</f>
        <v>0.324889798783046</v>
      </c>
      <c r="I199" s="47" t="n">
        <f aca="false">($B$184*Inputs!$B$34+($B$184-$B$184*Inputs!$B$34)*Inputs!$B$33)-(I190+I196-I198)</f>
        <v>0.324889798783046</v>
      </c>
      <c r="J199" s="47" t="n">
        <f aca="false">($B$184*Inputs!$B$34+($B$184-$B$184*Inputs!$B$34)*Inputs!$B$33)-(J190+J196-J198)</f>
        <v>0.324889798783046</v>
      </c>
      <c r="K199" s="47" t="n">
        <f aca="false">($B$184*Inputs!$B$34+($B$184-$B$184*Inputs!$B$34)*Inputs!$B$33)-(K190+K196-K198)</f>
        <v>0.324889798783046</v>
      </c>
      <c r="L199" s="47" t="n">
        <f aca="false">($B$184*Inputs!$B$34+($B$184-$B$184*Inputs!$B$34)*Inputs!$B$33)-(L190+L196-L198)</f>
        <v>0.318402925232432</v>
      </c>
      <c r="M199" s="47" t="n">
        <f aca="false">($B$184*Inputs!$B$34+($B$184-$B$184*Inputs!$B$34)*Inputs!$B$33)-(M190+M196-M198)</f>
        <v>0.26251616607079</v>
      </c>
      <c r="N199" s="47" t="n">
        <f aca="false">($B$184*Inputs!$B$34+($B$184-$B$184*Inputs!$B$34)*Inputs!$B$33)-(N190+N196-N198)</f>
        <v>0.113253765769494</v>
      </c>
      <c r="O199" s="47" t="n">
        <f aca="false">($B$184*Inputs!$B$34+($B$184-$B$184*Inputs!$B$34)*Inputs!$B$33)-(O190+O196-O198)</f>
        <v>0</v>
      </c>
      <c r="P199" s="47" t="n">
        <f aca="false">($B$184*Inputs!$B$34+($B$184-$B$184*Inputs!$B$34)*Inputs!$B$33)-(P190+P196-P198)</f>
        <v>0</v>
      </c>
      <c r="Q199" s="47" t="n">
        <f aca="false">($B$184*Inputs!$B$34+($B$184-$B$184*Inputs!$B$34)*Inputs!$B$33)-(Q190+Q196-Q198)</f>
        <v>0</v>
      </c>
      <c r="R199" s="47" t="n">
        <f aca="false">($B$184*Inputs!$B$34+($B$184-$B$184*Inputs!$B$34)*Inputs!$B$33)-(R190+R196-R198)</f>
        <v>0</v>
      </c>
      <c r="S199" s="47" t="n">
        <f aca="false">($B$184*Inputs!$B$34+($B$184-$B$184*Inputs!$B$34)*Inputs!$B$33)-(S190+S196-S198)</f>
        <v>0</v>
      </c>
      <c r="T199" s="47" t="n">
        <f aca="false">($B$184*Inputs!$B$34+($B$184-$B$184*Inputs!$B$34)*Inputs!$B$33)-(T190+T196-T198)</f>
        <v>0</v>
      </c>
      <c r="U199" s="47" t="n">
        <f aca="false">($B$184*Inputs!$B$34+($B$184-$B$184*Inputs!$B$34)*Inputs!$B$33)-(U190+U196-U198)</f>
        <v>0</v>
      </c>
      <c r="V199" s="47" t="n">
        <f aca="false">($B$184*Inputs!$B$34+($B$184-$B$184*Inputs!$B$34)*Inputs!$B$33)-(V190+V196-V198)</f>
        <v>0</v>
      </c>
      <c r="W199" s="47" t="n">
        <f aca="false">($B$184*Inputs!$B$34+($B$184-$B$184*Inputs!$B$34)*Inputs!$B$33)-(W190+W196-W198)</f>
        <v>0</v>
      </c>
      <c r="X199" s="47" t="n">
        <f aca="false">($B$184*Inputs!$B$34+($B$184-$B$184*Inputs!$B$34)*Inputs!$B$33)-(X190+X196-X198)</f>
        <v>0</v>
      </c>
      <c r="Y199" s="47" t="n">
        <f aca="false">($B$184*Inputs!$B$34+($B$184-$B$184*Inputs!$B$34)*Inputs!$B$33)-(Y190+Y196-Y198)</f>
        <v>0</v>
      </c>
      <c r="Z199" s="47" t="n">
        <f aca="false">($B$184*Inputs!$B$34+($B$184-$B$184*Inputs!$B$34)*Inputs!$B$33)-(Z190+Z196-Z198)</f>
        <v>0</v>
      </c>
      <c r="AA199" s="47" t="n">
        <f aca="false">($B$184*Inputs!$B$34+($B$184-$B$184*Inputs!$B$34)*Inputs!$B$33)-(AA190+AA196-AA198)</f>
        <v>0</v>
      </c>
      <c r="AB199" s="47" t="n">
        <f aca="false">($B$184*Inputs!$B$34+($B$184-$B$184*Inputs!$B$34)*Inputs!$B$33)-(AB190+AB196-AB198)</f>
        <v>0</v>
      </c>
      <c r="AC199" s="47" t="n">
        <f aca="false">($B$184*Inputs!$B$34+($B$184-$B$184*Inputs!$B$34)*Inputs!$B$33)-(AC190+AC196-AC198)</f>
        <v>0</v>
      </c>
      <c r="AD199" s="47" t="n">
        <f aca="false">($B$184*Inputs!$B$34+($B$184-$B$184*Inputs!$B$34)*Inputs!$B$33)-(AD190+AD196-AD198)</f>
        <v>0</v>
      </c>
      <c r="AE199" s="47" t="n">
        <f aca="false">($B$184*Inputs!$B$34+($B$184-$B$184*Inputs!$B$34)*Inputs!$B$33)-(AE190+AE196-AE198)</f>
        <v>0</v>
      </c>
      <c r="AF199" s="47" t="n">
        <f aca="false">($B$184*Inputs!$B$34+($B$184-$B$184*Inputs!$B$34)*Inputs!$B$33)-(AF190+AF196-AF198)</f>
        <v>0</v>
      </c>
      <c r="AG199" s="47" t="n">
        <f aca="false">($B$184*Inputs!$B$34+($B$184-$B$184*Inputs!$B$34)*Inputs!$B$33)-(AG190+AG196-AG198)</f>
        <v>0</v>
      </c>
      <c r="AH199" s="47" t="n">
        <f aca="false">($B$184*Inputs!$B$34+($B$184-$B$184*Inputs!$B$34)*Inputs!$B$33)-(AH190+AH196-AH198)</f>
        <v>0</v>
      </c>
      <c r="AI199" s="47" t="n">
        <f aca="false">($B$184*Inputs!$B$34+($B$184-$B$184*Inputs!$B$34)*Inputs!$B$33)-(AI190+AI196-AI198)</f>
        <v>0</v>
      </c>
      <c r="AJ199" s="47" t="n">
        <f aca="false">($B$184*Inputs!$B$34+($B$184-$B$184*Inputs!$B$34)*Inputs!$B$33)-(AJ190+AJ196-AJ198)</f>
        <v>0</v>
      </c>
      <c r="AK199" s="47" t="n">
        <f aca="false">($B$184*Inputs!$B$34+($B$184-$B$184*Inputs!$B$34)*Inputs!$B$33)-(AK190+AK196-AK198)</f>
        <v>0</v>
      </c>
    </row>
    <row r="200" customFormat="false" ht="15" hidden="false" customHeight="false" outlineLevel="0" collapsed="false">
      <c r="A200" s="10" t="s">
        <v>587</v>
      </c>
      <c r="B200" s="47" t="n">
        <f aca="false">SUMPRODUCT($H$199:$AK$199,$H$185:$AK$185)</f>
        <v>1.39181108602628</v>
      </c>
    </row>
    <row r="201" customFormat="false" ht="15" hidden="false" customHeight="false" outlineLevel="0" collapsed="false">
      <c r="A201" s="10" t="s">
        <v>588</v>
      </c>
      <c r="B201" s="47" t="n">
        <f aca="false">Inputs!$B$42*$B$200*$F$527</f>
        <v>0.916829072523901</v>
      </c>
    </row>
    <row r="202" customFormat="false" ht="15" hidden="false" customHeight="false" outlineLevel="0" collapsed="false">
      <c r="A202" s="10" t="s">
        <v>589</v>
      </c>
      <c r="B202" s="47" t="n">
        <f aca="false">$B$168</f>
        <v>32.3747788944724</v>
      </c>
    </row>
    <row r="203" customFormat="false" ht="15" hidden="false" customHeight="false" outlineLevel="0" collapsed="false">
      <c r="A203" s="10" t="s">
        <v>590</v>
      </c>
      <c r="B203" s="47" t="n">
        <f aca="false">Inputs!$B$18*IF(ISNUMBER($B$110),$B$110,Inputs!$B$12)</f>
        <v>2.861306</v>
      </c>
    </row>
    <row r="204" customFormat="false" ht="15" hidden="false" customHeight="false" outlineLevel="0" collapsed="false">
      <c r="A204" s="10" t="s">
        <v>591</v>
      </c>
      <c r="B204" s="47" t="n">
        <f aca="false">SUMPRODUCT($C$163:$F$163,$C$527:$F$527)</f>
        <v>0</v>
      </c>
    </row>
    <row r="205" customFormat="false" ht="15" hidden="false" customHeight="false" outlineLevel="0" collapsed="false">
      <c r="A205" s="13" t="s">
        <v>592</v>
      </c>
      <c r="B205" s="18" t="n">
        <f aca="false">$B$183+$B$201+$B$202+$B$203-$B$204</f>
        <v>42.6277631267322</v>
      </c>
    </row>
    <row r="206" customFormat="false" ht="15" hidden="false" customHeight="false" outlineLevel="0" collapsed="false">
      <c r="A206" s="10" t="s">
        <v>593</v>
      </c>
      <c r="B206" s="25" t="n">
        <f aca="false">Historicals!$B$89+Inputs!$B$17</f>
        <v>3.967329173</v>
      </c>
    </row>
    <row r="207" customFormat="false" ht="15" hidden="false" customHeight="false" outlineLevel="0" collapsed="false">
      <c r="A207" s="10" t="s">
        <v>594</v>
      </c>
      <c r="B207" s="32" t="n">
        <f aca="false">IFERROR(($B$205-$B$162*(1-Inputs!$B$70))/$B$206,0)</f>
        <v>10.744700343203</v>
      </c>
    </row>
    <row r="208" customFormat="false" ht="15" hidden="false" customHeight="false" outlineLevel="0" collapsed="false">
      <c r="A208" s="10" t="s">
        <v>595</v>
      </c>
      <c r="B208" s="25" t="n">
        <f aca="false">IF($B$207&gt;0,$B$162/($B$207*(1-Inputs!$B$71)),0)</f>
        <v>0</v>
      </c>
    </row>
    <row r="209" customFormat="false" ht="15" hidden="false" customHeight="false" outlineLevel="0" collapsed="false">
      <c r="A209" s="10" t="s">
        <v>596</v>
      </c>
      <c r="B209" s="32" t="n">
        <f aca="false">IFERROR($B$205/($B$206+$B$208),0)</f>
        <v>10.744700343203</v>
      </c>
    </row>
    <row r="210" customFormat="false" ht="15" hidden="false" customHeight="false" outlineLevel="0" collapsed="false">
      <c r="A210" s="10" t="s">
        <v>597</v>
      </c>
      <c r="B210" s="47" t="n">
        <f aca="false">SUMPRODUCT($C$162:$F$162,$C$527:$F$527)</f>
        <v>0</v>
      </c>
    </row>
    <row r="211" customFormat="false" ht="15" hidden="false" customHeight="false" outlineLevel="0" collapsed="false">
      <c r="A211" s="10" t="s">
        <v>598</v>
      </c>
      <c r="B211" s="25" t="n">
        <f aca="false">IF($B$209&gt;0,$B$208+$B$210/($B$209*(1-Inputs!$B$71)),0)</f>
        <v>0</v>
      </c>
    </row>
    <row r="212" customFormat="false" ht="15" hidden="false" customHeight="false" outlineLevel="0" collapsed="false">
      <c r="A212" s="13" t="s">
        <v>599</v>
      </c>
      <c r="B212" s="15" t="n">
        <f aca="false">IFERROR(($B$205+$B$210)/($B$206+$B$211),0)</f>
        <v>10.744700343203</v>
      </c>
    </row>
    <row r="213" customFormat="false" ht="15" hidden="false" customHeight="false" outlineLevel="0" collapsed="false">
      <c r="A213" s="10" t="s">
        <v>600</v>
      </c>
      <c r="B213" s="49" t="str">
        <f aca="false">IF($F$170&gt;Inputs!$B$73,"Not meaningful: funding need above limit",IF(OR($B$174&lt;=0,$B$179&lt;=0),"Not meaningful: 2030 profit or cash flow negative",IF(OR($B$178&lt;=0,$B$182&lt;=0),"Not meaningful: a method gives zero or negative value",IF($B$205&lt;=0,"Not meaningful: value at or below zero","OK"))))</f>
        <v>Not meaningful: 2030 profit or cash flow negative</v>
      </c>
    </row>
    <row r="214" customFormat="false" ht="15" hidden="false" customHeight="false" outlineLevel="0" collapsed="false">
      <c r="A214" s="13" t="s">
        <v>601</v>
      </c>
      <c r="B214" s="15" t="str">
        <f aca="false">IF($B$213="OK",$B$212,"unresolved")</f>
        <v>unresolved</v>
      </c>
    </row>
    <row r="215" customFormat="false" ht="15" hidden="false" customHeight="false" outlineLevel="0" collapsed="false">
      <c r="A215" s="10" t="s">
        <v>602</v>
      </c>
      <c r="B215" s="47" t="str">
        <f aca="false">IF(ISNUMBER($B$214),$B$214*$B$206,"unresolved")</f>
        <v>unresolved</v>
      </c>
    </row>
    <row r="216" customFormat="false" ht="15" hidden="false" customHeight="false" outlineLevel="0" collapsed="false">
      <c r="A216" s="10" t="s">
        <v>603</v>
      </c>
      <c r="B216" s="47" t="str">
        <f aca="false">IFERROR($B$205-$B$162*(1-Inputs!$B$70)-$B$215,"n/a")</f>
        <v>n/a</v>
      </c>
    </row>
    <row r="218" customFormat="false" ht="15" hidden="false" customHeight="false" outlineLevel="0" collapsed="false">
      <c r="A218" s="8" t="s">
        <v>619</v>
      </c>
      <c r="B218" s="9" t="s">
        <v>495</v>
      </c>
      <c r="C218" s="9" t="s">
        <v>496</v>
      </c>
      <c r="D218" s="9" t="s">
        <v>497</v>
      </c>
      <c r="E218" s="9" t="s">
        <v>498</v>
      </c>
      <c r="F218" s="9" t="s">
        <v>499</v>
      </c>
    </row>
    <row r="219" customFormat="false" ht="15" hidden="false" customHeight="false" outlineLevel="0" collapsed="false">
      <c r="A219" s="10" t="s">
        <v>620</v>
      </c>
      <c r="C219" s="47" t="n">
        <f aca="false">IFERROR(C128*C118/C119,0)</f>
        <v>0</v>
      </c>
      <c r="D219" s="47" t="n">
        <f aca="false">IFERROR(D128*D118/D119,0)</f>
        <v>0.0424127047774677</v>
      </c>
      <c r="E219" s="47" t="n">
        <f aca="false">IFERROR(E128*E118/E119,0)</f>
        <v>0.0903410603550431</v>
      </c>
      <c r="F219" s="47" t="n">
        <f aca="false">IFERROR(F128*F118/F119,0)</f>
        <v>0.185963656183537</v>
      </c>
    </row>
    <row r="220" customFormat="false" ht="15" hidden="false" customHeight="false" outlineLevel="0" collapsed="false">
      <c r="A220" s="10" t="s">
        <v>621</v>
      </c>
      <c r="C220" s="47" t="n">
        <f aca="false">C124-C118*Inputs!$B$148-C219</f>
        <v>-0</v>
      </c>
      <c r="D220" s="47" t="n">
        <f aca="false">D124-D118*Inputs!$B$148-D219</f>
        <v>-0.157412704777468</v>
      </c>
      <c r="E220" s="47" t="n">
        <f aca="false">E124-E118*Inputs!$B$148-E219</f>
        <v>-0.120341060355043</v>
      </c>
      <c r="F220" s="47" t="n">
        <f aca="false">F124-F118*Inputs!$B$148-F219</f>
        <v>0.154036343816463</v>
      </c>
    </row>
    <row r="221" customFormat="false" ht="15" hidden="false" customHeight="false" outlineLevel="0" collapsed="false">
      <c r="A221" s="10" t="s">
        <v>622</v>
      </c>
      <c r="C221" s="47" t="n">
        <f aca="false">C220*(1-Inputs!$B$79)</f>
        <v>-0</v>
      </c>
      <c r="D221" s="47" t="n">
        <f aca="false">D220*(1-Inputs!$B$79)</f>
        <v>-0.119381795303232</v>
      </c>
      <c r="E221" s="47" t="n">
        <f aca="false">E220*(1-Inputs!$B$79)</f>
        <v>-0.0912666601732647</v>
      </c>
      <c r="F221" s="47" t="n">
        <f aca="false">F220*(1-Inputs!$B$79)</f>
        <v>0.116821163150406</v>
      </c>
    </row>
    <row r="222" customFormat="false" ht="15" hidden="false" customHeight="false" outlineLevel="0" collapsed="false">
      <c r="A222" s="10" t="s">
        <v>623</v>
      </c>
      <c r="C222" s="47" t="n">
        <f aca="false">C221+C219-C118*(Inputs!$B$149+(Inputs!$B$150-Inputs!$B$149)*0/3)</f>
        <v>0</v>
      </c>
      <c r="D222" s="47" t="n">
        <f aca="false">D221+D219-D118*(Inputs!$B$149+(Inputs!$B$150-Inputs!$B$149)*1/3)</f>
        <v>-0.15863575719243</v>
      </c>
      <c r="E222" s="47" t="n">
        <f aca="false">E221+E219-E118*(Inputs!$B$149+(Inputs!$B$150-Inputs!$B$149)*2/3)</f>
        <v>-0.147592266484888</v>
      </c>
      <c r="F222" s="47" t="n">
        <f aca="false">F221+F219-F118*(Inputs!$B$149+(Inputs!$B$150-Inputs!$B$149)*3/3)</f>
        <v>0.0427848193339424</v>
      </c>
    </row>
    <row r="223" customFormat="false" ht="15" hidden="false" customHeight="false" outlineLevel="0" collapsed="false">
      <c r="A223" s="10" t="s">
        <v>624</v>
      </c>
      <c r="B223" s="47" t="n">
        <f aca="false">Inputs!$B$7*(SUMPRODUCT($C$222:$F$222,$C$527:$F$527)+$F$221*$B$175*$F$527)+(1-Inputs!$B$7)*(SUMPRODUCT($C$222:$F$222,$C$527:$F$527)+$F$222*$B$180*$F$527)</f>
        <v>1.0352714929859</v>
      </c>
    </row>
    <row r="225" customFormat="false" ht="15" hidden="false" customHeight="false" outlineLevel="0" collapsed="false">
      <c r="A225" s="8" t="s">
        <v>625</v>
      </c>
      <c r="B225" s="9" t="s">
        <v>495</v>
      </c>
      <c r="C225" s="9" t="s">
        <v>496</v>
      </c>
      <c r="D225" s="9" t="s">
        <v>497</v>
      </c>
      <c r="E225" s="9" t="s">
        <v>498</v>
      </c>
      <c r="F225" s="9" t="s">
        <v>499</v>
      </c>
    </row>
    <row r="226" customFormat="false" ht="15" hidden="false" customHeight="false" outlineLevel="0" collapsed="false">
      <c r="A226" s="10" t="s">
        <v>605</v>
      </c>
      <c r="B226" s="47" t="n">
        <f aca="false">Historicals!$C$73+Inputs!$B$120</f>
        <v>77.31</v>
      </c>
      <c r="C226" s="47" t="n">
        <f aca="false">B226*(1+Inputs!$B$124)</f>
        <v>75.7638</v>
      </c>
      <c r="D226" s="47" t="n">
        <f aca="false">C226*(1+Inputs!$B$125)</f>
        <v>75.7638</v>
      </c>
      <c r="E226" s="47" t="n">
        <f aca="false">D226*(1+Inputs!$B$126)</f>
        <v>76.521438</v>
      </c>
      <c r="F226" s="47" t="n">
        <f aca="false">E226*(1+Inputs!$B$127)</f>
        <v>78.05186676</v>
      </c>
    </row>
    <row r="227" customFormat="false" ht="15" hidden="false" customHeight="false" outlineLevel="0" collapsed="false">
      <c r="A227" s="10" t="s">
        <v>606</v>
      </c>
      <c r="B227" s="47" t="n">
        <f aca="false">Historicals!$C$74+Inputs!$B$121</f>
        <v>11.328</v>
      </c>
      <c r="C227" s="47" t="n">
        <f aca="false">B227*(1+Inputs!$B$128)</f>
        <v>12.4608</v>
      </c>
      <c r="D227" s="47" t="n">
        <f aca="false">C227*(1+Inputs!$B$129)</f>
        <v>13.70688</v>
      </c>
      <c r="E227" s="47" t="n">
        <f aca="false">D227*(1+Inputs!$B$130)</f>
        <v>15.077568</v>
      </c>
      <c r="F227" s="47" t="n">
        <f aca="false">E227*(1+Inputs!$B$131)</f>
        <v>16.5853248</v>
      </c>
    </row>
    <row r="228" customFormat="false" ht="15" hidden="false" customHeight="false" outlineLevel="0" collapsed="false">
      <c r="A228" s="10" t="s">
        <v>607</v>
      </c>
      <c r="B228" s="47" t="n">
        <f aca="false">Historicals!$C$75+Inputs!$B$122</f>
        <v>17.631</v>
      </c>
      <c r="C228" s="47" t="n">
        <f aca="false">B228*(1+Inputs!$B$132)</f>
        <v>19.74672</v>
      </c>
      <c r="D228" s="47" t="n">
        <f aca="false">C228*(1+Inputs!$B$133)</f>
        <v>22.1163264</v>
      </c>
      <c r="E228" s="47" t="n">
        <f aca="false">D228*(1+Inputs!$B$134)</f>
        <v>24.770285568</v>
      </c>
      <c r="F228" s="47" t="n">
        <f aca="false">E228*(1+Inputs!$B$135)</f>
        <v>27.74271983616</v>
      </c>
    </row>
    <row r="229" customFormat="false" ht="15" hidden="false" customHeight="false" outlineLevel="0" collapsed="false">
      <c r="A229" s="10" t="s">
        <v>608</v>
      </c>
      <c r="B229" s="26" t="n">
        <v>0</v>
      </c>
      <c r="C229" s="47" t="n">
        <f aca="false">0*Inputs!$B$136</f>
        <v>0</v>
      </c>
      <c r="D229" s="47" t="n">
        <f aca="false">0*Inputs!$B$137</f>
        <v>0</v>
      </c>
      <c r="E229" s="47" t="n">
        <f aca="false">0*Inputs!$B$138</f>
        <v>0</v>
      </c>
      <c r="F229" s="47" t="n">
        <f aca="false">0*Inputs!$B$139</f>
        <v>0</v>
      </c>
    </row>
    <row r="230" customFormat="false" ht="15" hidden="false" customHeight="false" outlineLevel="0" collapsed="false">
      <c r="A230" s="13" t="s">
        <v>108</v>
      </c>
      <c r="B230" s="18" t="n">
        <f aca="false">B226+B227+B228+B229</f>
        <v>106.269</v>
      </c>
      <c r="C230" s="18" t="n">
        <f aca="false">C226+C227+C228+C229</f>
        <v>107.97132</v>
      </c>
      <c r="D230" s="18" t="n">
        <f aca="false">D226+D227+D228+D229</f>
        <v>111.5870064</v>
      </c>
      <c r="E230" s="18" t="n">
        <f aca="false">E226+E227+E228+E229</f>
        <v>116.369291568</v>
      </c>
      <c r="F230" s="18" t="n">
        <f aca="false">F226+F227+F228+F229</f>
        <v>122.37991139616</v>
      </c>
    </row>
    <row r="231" customFormat="false" ht="15" hidden="false" customHeight="false" outlineLevel="0" collapsed="false">
      <c r="A231" s="10" t="s">
        <v>501</v>
      </c>
      <c r="C231" s="19" t="n">
        <f aca="false">IFERROR(C230/B230-1,0)</f>
        <v>0.0160189707252352</v>
      </c>
      <c r="D231" s="19" t="n">
        <f aca="false">IFERROR(D230/C230-1,0)</f>
        <v>0.0334874705616268</v>
      </c>
      <c r="E231" s="19" t="n">
        <f aca="false">IFERROR(E230/D230-1,0)</f>
        <v>0.0428570074803978</v>
      </c>
      <c r="F231" s="19" t="n">
        <f aca="false">IFERROR(F230/E230-1,0)</f>
        <v>0.0516512539276544</v>
      </c>
    </row>
    <row r="232" customFormat="false" ht="15" hidden="false" customHeight="false" outlineLevel="0" collapsed="false">
      <c r="A232" s="10" t="s">
        <v>609</v>
      </c>
      <c r="C232" s="47" t="n">
        <f aca="false">C226*(Inputs!$B$140+(Inputs!$B$141-Inputs!$B$140)*0/3)</f>
        <v>9.849294</v>
      </c>
      <c r="D232" s="47" t="n">
        <f aca="false">D226*(Inputs!$B$140+(Inputs!$B$141-Inputs!$B$140)*1/3)</f>
        <v>10.10184</v>
      </c>
      <c r="E232" s="47" t="n">
        <f aca="false">E226*(Inputs!$B$140+(Inputs!$B$141-Inputs!$B$140)*2/3)</f>
        <v>10.45792986</v>
      </c>
      <c r="F232" s="47" t="n">
        <f aca="false">F226*(Inputs!$B$140+(Inputs!$B$141-Inputs!$B$140)*3/3)</f>
        <v>10.9272613464</v>
      </c>
    </row>
    <row r="233" customFormat="false" ht="15" hidden="false" customHeight="false" outlineLevel="0" collapsed="false">
      <c r="A233" s="10" t="s">
        <v>610</v>
      </c>
      <c r="C233" s="47" t="n">
        <f aca="false">C227*(Inputs!$B$142+(Inputs!$B$143-Inputs!$B$142)*0/3)</f>
        <v>3.239808</v>
      </c>
      <c r="D233" s="47" t="n">
        <f aca="false">D227*(Inputs!$B$142+(Inputs!$B$143-Inputs!$B$142)*1/3)</f>
        <v>3.5637888</v>
      </c>
      <c r="E233" s="47" t="n">
        <f aca="false">E227*(Inputs!$B$142+(Inputs!$B$143-Inputs!$B$142)*2/3)</f>
        <v>3.92016768</v>
      </c>
      <c r="F233" s="47" t="n">
        <f aca="false">F227*(Inputs!$B$142+(Inputs!$B$143-Inputs!$B$142)*3/3)</f>
        <v>4.312184448</v>
      </c>
    </row>
    <row r="234" customFormat="false" ht="15" hidden="false" customHeight="false" outlineLevel="0" collapsed="false">
      <c r="A234" s="10" t="s">
        <v>611</v>
      </c>
      <c r="C234" s="47" t="n">
        <f aca="false">C228*(Inputs!$B$144+(Inputs!$B$145-Inputs!$B$144)*0/3)</f>
        <v>3.7518768</v>
      </c>
      <c r="D234" s="47" t="n">
        <f aca="false">D228*(Inputs!$B$144+(Inputs!$B$145-Inputs!$B$144)*1/3)</f>
        <v>4.202102016</v>
      </c>
      <c r="E234" s="47" t="n">
        <f aca="false">E228*(Inputs!$B$144+(Inputs!$B$145-Inputs!$B$144)*2/3)</f>
        <v>4.70635425792</v>
      </c>
      <c r="F234" s="47" t="n">
        <f aca="false">F228*(Inputs!$B$144+(Inputs!$B$145-Inputs!$B$144)*3/3)</f>
        <v>5.2711167688704</v>
      </c>
    </row>
    <row r="235" customFormat="false" ht="15" hidden="false" customHeight="false" outlineLevel="0" collapsed="false">
      <c r="A235" s="10" t="s">
        <v>612</v>
      </c>
      <c r="C235" s="47" t="n">
        <f aca="false">C229*(Inputs!$B$146+(Inputs!$B$147-Inputs!$B$146)*0/3)</f>
        <v>-0</v>
      </c>
      <c r="D235" s="47" t="n">
        <f aca="false">D229*(Inputs!$B$146+(Inputs!$B$147-Inputs!$B$146)*1/3)</f>
        <v>-0</v>
      </c>
      <c r="E235" s="47" t="n">
        <f aca="false">E229*(Inputs!$B$146+(Inputs!$B$147-Inputs!$B$146)*2/3)</f>
        <v>0</v>
      </c>
      <c r="F235" s="47" t="n">
        <f aca="false">F229*(Inputs!$B$146+(Inputs!$B$147-Inputs!$B$146)*3/3)</f>
        <v>0</v>
      </c>
    </row>
    <row r="236" customFormat="false" ht="15" hidden="false" customHeight="false" outlineLevel="0" collapsed="false">
      <c r="A236" s="10" t="s">
        <v>505</v>
      </c>
      <c r="C236" s="47" t="n">
        <f aca="false">C232+C233+C234+C235</f>
        <v>16.8409788</v>
      </c>
      <c r="D236" s="47" t="n">
        <f aca="false">D232+D233+D234+D235</f>
        <v>17.867730816</v>
      </c>
      <c r="E236" s="47" t="n">
        <f aca="false">E232+E233+E234+E235</f>
        <v>19.08445179792</v>
      </c>
      <c r="F236" s="47" t="n">
        <f aca="false">F232+F233+F234+F235</f>
        <v>20.5105625632704</v>
      </c>
    </row>
    <row r="237" customFormat="false" ht="15" hidden="false" customHeight="false" outlineLevel="0" collapsed="false">
      <c r="A237" s="10" t="s">
        <v>613</v>
      </c>
      <c r="B237" s="47" t="n">
        <f aca="false">(Inputs!$B$120+Inputs!$B$121+Inputs!$B$122)*Inputs!$B$148</f>
        <v>1.104</v>
      </c>
      <c r="C237" s="47" t="n">
        <f aca="false">C230*Inputs!$B$148</f>
        <v>4.3188528</v>
      </c>
      <c r="D237" s="47" t="n">
        <f aca="false">D230*Inputs!$B$148</f>
        <v>4.463480256</v>
      </c>
      <c r="E237" s="47" t="n">
        <f aca="false">E230*Inputs!$B$148</f>
        <v>4.65477166272</v>
      </c>
      <c r="F237" s="47" t="n">
        <f aca="false">F230*Inputs!$B$148</f>
        <v>4.8951964558464</v>
      </c>
    </row>
    <row r="238" customFormat="false" ht="15" hidden="false" customHeight="false" outlineLevel="0" collapsed="false">
      <c r="A238" s="10" t="s">
        <v>614</v>
      </c>
      <c r="B238" s="26" t="n">
        <v>0</v>
      </c>
      <c r="C238" s="26" t="n">
        <v>0</v>
      </c>
      <c r="D238" s="26" t="n">
        <v>0</v>
      </c>
      <c r="E238" s="26" t="n">
        <v>0</v>
      </c>
      <c r="F238" s="26" t="n">
        <v>0</v>
      </c>
    </row>
    <row r="239" customFormat="false" ht="15" hidden="false" customHeight="false" outlineLevel="0" collapsed="false">
      <c r="A239" s="10" t="s">
        <v>615</v>
      </c>
      <c r="B239" s="47" t="n">
        <f aca="false">Historicals!$C$76+Inputs!$B$53/4</f>
        <v>6.748</v>
      </c>
      <c r="C239" s="47" t="n">
        <f aca="false">Inputs!$B$53*MAX(0,MIN(1,(Inputs!$B$57-1+0.5)/Inputs!$B$57))+$B243*IF(1&lt;=Inputs!$B$49,1,0)/Inputs!$B$49+C242*0.5/Inputs!$B$49</f>
        <v>8.27359401666667</v>
      </c>
      <c r="D239" s="47" t="n">
        <f aca="false">Inputs!$B$53*MAX(0,MIN(1,(Inputs!$B$57-2+0.5)/Inputs!$B$57))+$B243*IF(2&lt;=Inputs!$B$49,1,0)/Inputs!$B$49+C242*IF(1&lt;=Inputs!$B$49-1,1,IF(1=Inputs!$B$49,0.5,0))/Inputs!$B$49+D242*0.5/Inputs!$B$49</f>
        <v>9.502722057</v>
      </c>
      <c r="E239" s="47" t="n">
        <f aca="false">Inputs!$B$53*MAX(0,MIN(1,(Inputs!$B$57-3+0.5)/Inputs!$B$57))+$B243*IF(3&lt;=Inputs!$B$49,1,0)/Inputs!$B$49+C242*IF(2&lt;=Inputs!$B$49-1,1,IF(2=Inputs!$B$49,0.5,0))/Inputs!$B$49+D242*IF(1&lt;=Inputs!$B$49-1,1,IF(1=Inputs!$B$49,0.5,0))/Inputs!$B$49+E242*0.5/Inputs!$B$49</f>
        <v>10.5838912533733</v>
      </c>
      <c r="F239" s="47" t="n">
        <f aca="false">Inputs!$B$53*MAX(0,MIN(1,(Inputs!$B$57-4+0.5)/Inputs!$B$57))+$B243*IF(4&lt;=Inputs!$B$49,1,0)/Inputs!$B$49+C242*IF(3&lt;=Inputs!$B$49-1,1,IF(3=Inputs!$B$49,0.5,0))/Inputs!$B$49+D242*IF(2&lt;=Inputs!$B$49-1,1,IF(2=Inputs!$B$49,0.5,0))/Inputs!$B$49+E242*IF(1&lt;=Inputs!$B$49-1,1,IF(1=Inputs!$B$49,0.5,0))/Inputs!$B$49+F242*0.5/Inputs!$B$49</f>
        <v>11.5202798728405</v>
      </c>
    </row>
    <row r="240" customFormat="false" ht="15" hidden="false" customHeight="false" outlineLevel="0" collapsed="false">
      <c r="A240" s="13" t="s">
        <v>513</v>
      </c>
      <c r="B240" s="18" t="n">
        <f aca="false">Historicals!$C$72+(Inputs!$B$120+Inputs!$B$121+Inputs!$B$122)*Inputs!$B$123</f>
        <v>2.471</v>
      </c>
      <c r="C240" s="18" t="n">
        <f aca="false">C236-C237-C239</f>
        <v>4.24853198333333</v>
      </c>
      <c r="D240" s="18" t="n">
        <f aca="false">D236-D237-D239</f>
        <v>3.90152850300001</v>
      </c>
      <c r="E240" s="18" t="n">
        <f aca="false">E236-E237-E239</f>
        <v>3.84578888182667</v>
      </c>
      <c r="F240" s="18" t="n">
        <f aca="false">F236-F237-F239</f>
        <v>4.09508623458354</v>
      </c>
    </row>
    <row r="241" customFormat="false" ht="15" hidden="false" customHeight="false" outlineLevel="0" collapsed="false">
      <c r="A241" s="10" t="s">
        <v>514</v>
      </c>
      <c r="B241" s="19" t="n">
        <f aca="false">IFERROR(B240/B230,0)</f>
        <v>0.0232523125276421</v>
      </c>
      <c r="C241" s="19" t="n">
        <f aca="false">IFERROR(C240/C230,0)</f>
        <v>0.0393487083730507</v>
      </c>
      <c r="D241" s="19" t="n">
        <f aca="false">IFERROR(D240/D230,0)</f>
        <v>0.0349640036852893</v>
      </c>
      <c r="E241" s="19" t="n">
        <f aca="false">IFERROR(E240/E230,0)</f>
        <v>0.0330481420829085</v>
      </c>
      <c r="F241" s="19" t="n">
        <f aca="false">IFERROR(F240/F230,0)</f>
        <v>0.0334620787665649</v>
      </c>
    </row>
    <row r="242" customFormat="false" ht="15" hidden="false" customHeight="false" outlineLevel="0" collapsed="false">
      <c r="A242" s="10" t="s">
        <v>616</v>
      </c>
      <c r="B242" s="47" t="n">
        <f aca="false">Inputs!$B$58</f>
        <v>20</v>
      </c>
      <c r="C242" s="47" t="n">
        <f aca="false">C230*(Inputs!$B$149+(Inputs!$B$150-Inputs!$B$149)*0/3)</f>
        <v>19.4348376</v>
      </c>
      <c r="D242" s="47" t="n">
        <f aca="false">D230*(Inputs!$B$149+(Inputs!$B$150-Inputs!$B$149)*1/3)</f>
        <v>18.225877712</v>
      </c>
      <c r="E242" s="47" t="n">
        <f aca="false">E230*(Inputs!$B$149+(Inputs!$B$150-Inputs!$B$149)*2/3)</f>
        <v>17.06749609664</v>
      </c>
      <c r="F242" s="47" t="n">
        <f aca="false">F230*(Inputs!$B$149+(Inputs!$B$150-Inputs!$B$149)*3/3)</f>
        <v>15.9093884815008</v>
      </c>
    </row>
    <row r="243" customFormat="false" ht="15" hidden="false" customHeight="false" outlineLevel="0" collapsed="false">
      <c r="A243" s="10" t="s">
        <v>617</v>
      </c>
      <c r="B243" s="47" t="n">
        <f aca="false">Inputs!$B$58-Historicals!$C$78</f>
        <v>6.986</v>
      </c>
    </row>
    <row r="244" customFormat="false" ht="15" hidden="false" customHeight="false" outlineLevel="0" collapsed="false">
      <c r="A244" s="10" t="s">
        <v>618</v>
      </c>
      <c r="C244" s="48" t="n">
        <f aca="false">IFERROR(C242/C239,0)</f>
        <v>2.34901997376831</v>
      </c>
      <c r="D244" s="48" t="n">
        <f aca="false">IFERROR(D242/D239,0)</f>
        <v>1.91796388473493</v>
      </c>
      <c r="E244" s="48" t="n">
        <f aca="false">IFERROR(E242/E239,0)</f>
        <v>1.6125917857669</v>
      </c>
      <c r="F244" s="48" t="n">
        <f aca="false">IFERROR(F242/F239,0)</f>
        <v>1.38098975520619</v>
      </c>
    </row>
    <row r="245" customFormat="false" ht="15" hidden="false" customHeight="false" outlineLevel="0" collapsed="false">
      <c r="A245" s="10" t="s">
        <v>523</v>
      </c>
      <c r="B245" s="47" t="n">
        <f aca="false">B240-Inputs!$B$38*B242+Inputs!$B$38*B239</f>
        <v>-5.4802</v>
      </c>
      <c r="C245" s="47" t="n">
        <f aca="false">C240-Inputs!$B$38*C242+Inputs!$B$38*C239</f>
        <v>-2.44821416666667</v>
      </c>
      <c r="D245" s="47" t="n">
        <f aca="false">D240-Inputs!$B$38*D242+Inputs!$B$38*D239</f>
        <v>-1.33236488999999</v>
      </c>
      <c r="E245" s="47" t="n">
        <f aca="false">E240-Inputs!$B$38*E242+Inputs!$B$38*E239</f>
        <v>-0.044374024133333</v>
      </c>
      <c r="F245" s="47" t="n">
        <f aca="false">F240-Inputs!$B$38*F242+Inputs!$B$38*F239</f>
        <v>1.46162106938734</v>
      </c>
    </row>
    <row r="246" customFormat="false" ht="15" hidden="false" customHeight="false" outlineLevel="0" collapsed="false">
      <c r="A246" s="10" t="s">
        <v>524</v>
      </c>
      <c r="B246" s="47" t="n">
        <f aca="false">MIN(0,MAX(0,B245),1E+099)</f>
        <v>0</v>
      </c>
      <c r="C246" s="47" t="n">
        <f aca="false">MIN(B248,MAX(0,C245),1E+099)</f>
        <v>0</v>
      </c>
      <c r="D246" s="47" t="n">
        <f aca="false">MIN(C248,MAX(0,D245),1E+099)</f>
        <v>0</v>
      </c>
      <c r="E246" s="47" t="n">
        <f aca="false">MIN(D248,MAX(0,E245),1E+099)</f>
        <v>0</v>
      </c>
      <c r="F246" s="47" t="n">
        <f aca="false">MIN(E248,MAX(0,F245),1E+099)</f>
        <v>1.46162106938734</v>
      </c>
    </row>
    <row r="247" customFormat="false" ht="15" hidden="false" customHeight="false" outlineLevel="0" collapsed="false">
      <c r="A247" s="10" t="s">
        <v>525</v>
      </c>
      <c r="B247" s="47" t="n">
        <f aca="false">MIN(0,MAX(0,B245)-B246)</f>
        <v>0</v>
      </c>
      <c r="C247" s="47" t="n">
        <f aca="false">MIN(B249,MAX(0,C245)-C246)</f>
        <v>0</v>
      </c>
      <c r="D247" s="47" t="n">
        <f aca="false">MIN(C249,MAX(0,D245)-D246)</f>
        <v>0</v>
      </c>
      <c r="E247" s="47" t="n">
        <f aca="false">MIN(D249,MAX(0,E245)-E246)</f>
        <v>0</v>
      </c>
      <c r="F247" s="47" t="n">
        <f aca="false">MIN(E249,MAX(0,F245)-F246)</f>
        <v>0</v>
      </c>
    </row>
    <row r="248" customFormat="false" ht="15" hidden="false" customHeight="false" outlineLevel="0" collapsed="false">
      <c r="A248" s="10" t="s">
        <v>526</v>
      </c>
      <c r="B248" s="47" t="n">
        <f aca="false">0-B246+MAX(0,-B245)</f>
        <v>5.4802</v>
      </c>
      <c r="C248" s="47" t="n">
        <f aca="false">B248-C246</f>
        <v>5.4802</v>
      </c>
      <c r="D248" s="47" t="n">
        <f aca="false">C248-D246</f>
        <v>5.4802</v>
      </c>
      <c r="E248" s="47" t="n">
        <f aca="false">D248-E246</f>
        <v>5.4802</v>
      </c>
      <c r="F248" s="47" t="n">
        <f aca="false">E248-F246</f>
        <v>4.01857893061267</v>
      </c>
    </row>
    <row r="249" customFormat="false" ht="15" hidden="false" customHeight="false" outlineLevel="0" collapsed="false">
      <c r="A249" s="10" t="s">
        <v>527</v>
      </c>
      <c r="B249" s="26" t="n">
        <v>0</v>
      </c>
      <c r="C249" s="47" t="n">
        <f aca="false">B249-C247+MAX(0,-C245)</f>
        <v>2.44821416666667</v>
      </c>
      <c r="D249" s="47" t="n">
        <f aca="false">C249-D247+MAX(0,-D245)</f>
        <v>3.78057905666666</v>
      </c>
      <c r="E249" s="47" t="n">
        <f aca="false">D249-E247+MAX(0,-E245)</f>
        <v>3.8249530808</v>
      </c>
      <c r="F249" s="47" t="n">
        <f aca="false">E249-F247+MAX(0,-F245)</f>
        <v>3.8249530808</v>
      </c>
    </row>
    <row r="250" customFormat="false" ht="15" hidden="false" customHeight="false" outlineLevel="0" collapsed="false">
      <c r="A250" s="10" t="s">
        <v>528</v>
      </c>
      <c r="B250" s="47" t="n">
        <f aca="false">MAX(0,B245-B246-B247)*Inputs!$B$34</f>
        <v>0</v>
      </c>
      <c r="C250" s="47" t="n">
        <f aca="false">MAX(0,C245-C246-C247)*Inputs!$B$34</f>
        <v>0</v>
      </c>
      <c r="D250" s="47" t="n">
        <f aca="false">MAX(0,D245-D246-D247)*Inputs!$B$34</f>
        <v>0</v>
      </c>
      <c r="E250" s="47" t="n">
        <f aca="false">MAX(0,E245-E246-E247)*Inputs!$B$34</f>
        <v>0</v>
      </c>
      <c r="F250" s="47" t="n">
        <f aca="false">MAX(0,F245-F246-F247)*Inputs!$B$34</f>
        <v>0</v>
      </c>
    </row>
    <row r="251" customFormat="false" ht="15" hidden="false" customHeight="false" outlineLevel="0" collapsed="false">
      <c r="A251" s="10" t="s">
        <v>529</v>
      </c>
      <c r="B251" s="47" t="n">
        <f aca="false">B245-B250</f>
        <v>-5.4802</v>
      </c>
      <c r="C251" s="47" t="n">
        <f aca="false">C245-C250</f>
        <v>-2.44821416666667</v>
      </c>
      <c r="D251" s="47" t="n">
        <f aca="false">D245-D250</f>
        <v>-1.33236488999999</v>
      </c>
      <c r="E251" s="47" t="n">
        <f aca="false">E245-E250</f>
        <v>-0.044374024133333</v>
      </c>
      <c r="F251" s="47" t="n">
        <f aca="false">F245-F250</f>
        <v>1.46162106938734</v>
      </c>
    </row>
    <row r="252" customFormat="false" ht="15" hidden="false" customHeight="false" outlineLevel="0" collapsed="false">
      <c r="A252" s="10" t="s">
        <v>530</v>
      </c>
      <c r="B252" s="47" t="n">
        <f aca="false">MIN(Inputs!$B$39,Inputs!$B$35*MAX(0,B251),1E+099)</f>
        <v>0</v>
      </c>
      <c r="C252" s="47" t="n">
        <f aca="false">MIN(B254,Inputs!$B$35*MAX(0,C251),1E+099)</f>
        <v>0</v>
      </c>
      <c r="D252" s="47" t="n">
        <f aca="false">MIN(C254,Inputs!$B$35*MAX(0,D251),1E+099)</f>
        <v>0</v>
      </c>
      <c r="E252" s="47" t="n">
        <f aca="false">MIN(D254,Inputs!$B$35*MAX(0,E251),1E+099)</f>
        <v>0</v>
      </c>
      <c r="F252" s="47" t="n">
        <f aca="false">MIN(E254,Inputs!$B$35*MAX(0,F251),1E+099)</f>
        <v>1.16929685550987</v>
      </c>
    </row>
    <row r="253" customFormat="false" ht="15" hidden="false" customHeight="false" outlineLevel="0" collapsed="false">
      <c r="A253" s="10" t="s">
        <v>531</v>
      </c>
      <c r="B253" s="47" t="n">
        <f aca="false">MIN(0,Inputs!$B$35*MAX(0,B251)-B252)</f>
        <v>0</v>
      </c>
      <c r="C253" s="47" t="n">
        <f aca="false">MIN(B255,Inputs!$B$35*MAX(0,C251)-C252)</f>
        <v>0</v>
      </c>
      <c r="D253" s="47" t="n">
        <f aca="false">MIN(C255,Inputs!$B$35*MAX(0,D251)-D252)</f>
        <v>0</v>
      </c>
      <c r="E253" s="47" t="n">
        <f aca="false">MIN(D255,Inputs!$B$35*MAX(0,E251)-E252)</f>
        <v>0</v>
      </c>
      <c r="F253" s="47" t="n">
        <f aca="false">MIN(E255,Inputs!$B$35*MAX(0,F251)-F252)</f>
        <v>0</v>
      </c>
    </row>
    <row r="254" customFormat="false" ht="15" hidden="false" customHeight="false" outlineLevel="0" collapsed="false">
      <c r="A254" s="10" t="s">
        <v>532</v>
      </c>
      <c r="B254" s="47" t="n">
        <f aca="false">Inputs!$B$39-B252+MAX(0,-B251)</f>
        <v>5.4802</v>
      </c>
      <c r="C254" s="47" t="n">
        <f aca="false">B254-C252</f>
        <v>5.4802</v>
      </c>
      <c r="D254" s="47" t="n">
        <f aca="false">C254-D252</f>
        <v>5.4802</v>
      </c>
      <c r="E254" s="47" t="n">
        <f aca="false">D254-E252</f>
        <v>5.4802</v>
      </c>
      <c r="F254" s="47" t="n">
        <f aca="false">E254-F252</f>
        <v>4.31090314449013</v>
      </c>
    </row>
    <row r="255" customFormat="false" ht="15" hidden="false" customHeight="false" outlineLevel="0" collapsed="false">
      <c r="A255" s="10" t="s">
        <v>533</v>
      </c>
      <c r="B255" s="26" t="n">
        <v>0</v>
      </c>
      <c r="C255" s="47" t="n">
        <f aca="false">B255-C253+MAX(0,-C251)</f>
        <v>2.44821416666667</v>
      </c>
      <c r="D255" s="47" t="n">
        <f aca="false">C255-D253+MAX(0,-D251)</f>
        <v>3.78057905666666</v>
      </c>
      <c r="E255" s="47" t="n">
        <f aca="false">D255-E253+MAX(0,-E251)</f>
        <v>3.8249530808</v>
      </c>
      <c r="F255" s="47" t="n">
        <f aca="false">E255-F253+MAX(0,-F251)</f>
        <v>3.8249530808</v>
      </c>
    </row>
    <row r="256" customFormat="false" ht="15" hidden="false" customHeight="false" outlineLevel="0" collapsed="false">
      <c r="A256" s="10" t="s">
        <v>534</v>
      </c>
      <c r="B256" s="47" t="n">
        <f aca="false">MAX(0,B251-B252-B253)*Inputs!$B$33</f>
        <v>0</v>
      </c>
      <c r="C256" s="47" t="n">
        <f aca="false">MAX(0,C251-C252-C253)*Inputs!$B$33</f>
        <v>0</v>
      </c>
      <c r="D256" s="47" t="n">
        <f aca="false">MAX(0,D251-D252-D253)*Inputs!$B$33</f>
        <v>0</v>
      </c>
      <c r="E256" s="47" t="n">
        <f aca="false">MAX(0,E251-E252-E253)*Inputs!$B$33</f>
        <v>0</v>
      </c>
      <c r="F256" s="47" t="n">
        <f aca="false">MAX(0,F251-F252-F253)*Inputs!$B$33</f>
        <v>0.061388084914268</v>
      </c>
    </row>
    <row r="257" customFormat="false" ht="15" hidden="false" customHeight="false" outlineLevel="0" collapsed="false">
      <c r="A257" s="10" t="s">
        <v>535</v>
      </c>
      <c r="B257" s="47" t="n">
        <f aca="false">MIN(0,B256,MAX(0,1E+099-B252)*Inputs!$B$33)</f>
        <v>0</v>
      </c>
      <c r="C257" s="47" t="n">
        <f aca="false">MIN(B258,C256,MAX(0,1E+099-C252)*Inputs!$B$33)</f>
        <v>0</v>
      </c>
      <c r="D257" s="47" t="n">
        <f aca="false">MIN(C258,D256,MAX(0,1E+099-D252)*Inputs!$B$33)</f>
        <v>0</v>
      </c>
      <c r="E257" s="47" t="n">
        <f aca="false">MIN(D258,E256,MAX(0,1E+099-E252)*Inputs!$B$33)</f>
        <v>0</v>
      </c>
      <c r="F257" s="47" t="n">
        <f aca="false">MIN(E258,F256,MAX(0,1E+099-F252)*Inputs!$B$33)</f>
        <v>0</v>
      </c>
    </row>
    <row r="258" customFormat="false" ht="15" hidden="false" customHeight="false" outlineLevel="0" collapsed="false">
      <c r="A258" s="10" t="s">
        <v>536</v>
      </c>
      <c r="B258" s="47" t="n">
        <f aca="false">0-B257</f>
        <v>0</v>
      </c>
      <c r="C258" s="47" t="n">
        <f aca="false">B258-C257</f>
        <v>0</v>
      </c>
      <c r="D258" s="47" t="n">
        <f aca="false">C258-D257</f>
        <v>0</v>
      </c>
      <c r="E258" s="47" t="n">
        <f aca="false">D258-E257</f>
        <v>0</v>
      </c>
      <c r="F258" s="47" t="n">
        <f aca="false">E258-F257</f>
        <v>0</v>
      </c>
    </row>
    <row r="259" customFormat="false" ht="15" hidden="false" customHeight="false" outlineLevel="0" collapsed="false">
      <c r="A259" s="13" t="s">
        <v>537</v>
      </c>
      <c r="B259" s="18" t="n">
        <f aca="false">MAX(0,(Inputs!$B$120+Inputs!$B$121+Inputs!$B$122)*Inputs!$B$123)*Inputs!$B$41</f>
        <v>0.0621</v>
      </c>
      <c r="C259" s="18" t="n">
        <f aca="false">C256-C257+C250</f>
        <v>0</v>
      </c>
      <c r="D259" s="18" t="n">
        <f aca="false">D256-D257+D250</f>
        <v>0</v>
      </c>
      <c r="E259" s="18" t="n">
        <f aca="false">E256-E257+E250</f>
        <v>0</v>
      </c>
      <c r="F259" s="18" t="n">
        <f aca="false">F256-F257+F250</f>
        <v>0.061388084914268</v>
      </c>
    </row>
    <row r="260" customFormat="false" ht="15" hidden="false" customHeight="false" outlineLevel="0" collapsed="false">
      <c r="A260" s="10" t="s">
        <v>538</v>
      </c>
      <c r="B260" s="47" t="n">
        <f aca="false">0+Inputs!$B$38*(B242-B239)</f>
        <v>7.9512</v>
      </c>
      <c r="C260" s="47" t="n">
        <f aca="false">B260+Inputs!$B$38*(C242-C239)</f>
        <v>14.64794615</v>
      </c>
      <c r="D260" s="47" t="n">
        <f aca="false">C260+Inputs!$B$38*(D242-D239)</f>
        <v>19.881839543</v>
      </c>
      <c r="E260" s="47" t="n">
        <f aca="false">D260+Inputs!$B$38*(E242-E239)</f>
        <v>23.77200244896</v>
      </c>
      <c r="F260" s="47" t="n">
        <f aca="false">E260+Inputs!$B$38*(F242-F239)</f>
        <v>26.4054676141562</v>
      </c>
    </row>
    <row r="261" customFormat="false" ht="15" hidden="false" customHeight="false" outlineLevel="0" collapsed="false">
      <c r="A261" s="10" t="s">
        <v>539</v>
      </c>
      <c r="B261" s="47" t="n">
        <f aca="false">B260*Inputs!$B$79</f>
        <v>1.92100992</v>
      </c>
      <c r="C261" s="47" t="n">
        <f aca="false">C260*Inputs!$B$79</f>
        <v>3.53894378984</v>
      </c>
      <c r="D261" s="47" t="n">
        <f aca="false">D260*Inputs!$B$79</f>
        <v>4.8034524335888</v>
      </c>
      <c r="E261" s="47" t="n">
        <f aca="false">E260*Inputs!$B$79</f>
        <v>5.74331579166874</v>
      </c>
      <c r="F261" s="47" t="n">
        <f aca="false">F260*Inputs!$B$79</f>
        <v>6.37956097558014</v>
      </c>
    </row>
    <row r="262" customFormat="false" ht="15" hidden="false" customHeight="false" outlineLevel="0" collapsed="false">
      <c r="A262" s="10" t="s">
        <v>540</v>
      </c>
      <c r="C262" s="47" t="n">
        <f aca="false">C240-C259</f>
        <v>4.24853198333333</v>
      </c>
      <c r="D262" s="47" t="n">
        <f aca="false">D240-D259</f>
        <v>3.90152850300001</v>
      </c>
      <c r="E262" s="47" t="n">
        <f aca="false">E240-E259</f>
        <v>3.84578888182667</v>
      </c>
      <c r="F262" s="47" t="n">
        <f aca="false">F240-F259</f>
        <v>4.03369814966927</v>
      </c>
    </row>
    <row r="263" customFormat="false" ht="15" hidden="false" customHeight="false" outlineLevel="0" collapsed="false">
      <c r="A263" s="10" t="s">
        <v>541</v>
      </c>
      <c r="C263" s="47" t="n">
        <f aca="false">Inputs!$B$65*(C230-B230)</f>
        <v>0</v>
      </c>
      <c r="D263" s="47" t="n">
        <f aca="false">Inputs!$B$65*(D230-C230)</f>
        <v>0</v>
      </c>
      <c r="E263" s="47" t="n">
        <f aca="false">Inputs!$B$65*(E230-D230)</f>
        <v>0</v>
      </c>
      <c r="F263" s="47" t="n">
        <f aca="false">Inputs!$B$65*(F230-E230)</f>
        <v>0</v>
      </c>
    </row>
    <row r="264" customFormat="false" ht="15" hidden="false" customHeight="false" outlineLevel="0" collapsed="false">
      <c r="A264" s="13" t="s">
        <v>542</v>
      </c>
      <c r="B264" s="18" t="n">
        <f aca="false">B265-B237</f>
        <v>-4.9471</v>
      </c>
      <c r="C264" s="18" t="n">
        <f aca="false">C240+C239-C259-C242-C263</f>
        <v>-6.9127116</v>
      </c>
      <c r="D264" s="18" t="n">
        <f aca="false">D240+D239-D259-D242-D263</f>
        <v>-4.82162715199999</v>
      </c>
      <c r="E264" s="18" t="n">
        <f aca="false">E240+E239-E259-E242-E263</f>
        <v>-2.63781596144</v>
      </c>
      <c r="F264" s="18" t="n">
        <f aca="false">F240+F239-F259-F242-F263</f>
        <v>-0.355410458991068</v>
      </c>
    </row>
    <row r="265" customFormat="false" ht="15" hidden="false" customHeight="false" outlineLevel="0" collapsed="false">
      <c r="A265" s="10" t="s">
        <v>543</v>
      </c>
      <c r="B265" s="47" t="n">
        <f aca="false">(Inputs!$B$120+Inputs!$B$121+Inputs!$B$122)*Inputs!$B$123+Inputs!$B$53/4+B237-B259-B243</f>
        <v>-3.8431</v>
      </c>
      <c r="C265" s="47" t="n">
        <f aca="false">C264+C237+C238</f>
        <v>-2.5938588</v>
      </c>
      <c r="D265" s="47" t="n">
        <f aca="false">D264+D237+D238</f>
        <v>-0.358146895999994</v>
      </c>
      <c r="E265" s="47" t="n">
        <f aca="false">E264+E237+E238</f>
        <v>2.01695570128</v>
      </c>
      <c r="F265" s="47" t="n">
        <f aca="false">F264+F237+F238</f>
        <v>4.53978599685533</v>
      </c>
    </row>
    <row r="266" customFormat="false" ht="15" hidden="false" customHeight="false" outlineLevel="0" collapsed="false">
      <c r="A266" s="10" t="s">
        <v>544</v>
      </c>
      <c r="B266" s="47" t="n">
        <f aca="false">Historicals!$B$87</f>
        <v>45.447</v>
      </c>
      <c r="C266" s="47" t="n">
        <f aca="false">B277</f>
        <v>41.8977788944724</v>
      </c>
      <c r="D266" s="47" t="n">
        <f aca="false">C277</f>
        <v>40.3780568085325</v>
      </c>
      <c r="E266" s="47" t="n">
        <f aca="false">D277</f>
        <v>41.0776439272481</v>
      </c>
      <c r="F266" s="47" t="n">
        <f aca="false">E277</f>
        <v>44.2293597010949</v>
      </c>
    </row>
    <row r="267" customFormat="false" ht="15" hidden="false" customHeight="false" outlineLevel="0" collapsed="false">
      <c r="A267" s="10" t="s">
        <v>545</v>
      </c>
      <c r="B267" s="47" t="n">
        <f aca="false">Historicals!$B$88</f>
        <v>9.523</v>
      </c>
      <c r="C267" s="47" t="n">
        <f aca="false">B278</f>
        <v>9.523</v>
      </c>
      <c r="D267" s="47" t="n">
        <f aca="false">C278</f>
        <v>9.523</v>
      </c>
      <c r="E267" s="47" t="n">
        <f aca="false">D278</f>
        <v>9.523</v>
      </c>
      <c r="F267" s="47" t="n">
        <f aca="false">E278</f>
        <v>9.523</v>
      </c>
    </row>
    <row r="268" customFormat="false" ht="15" hidden="false" customHeight="false" outlineLevel="0" collapsed="false">
      <c r="A268" s="10" t="s">
        <v>546</v>
      </c>
      <c r="B268" s="26" t="n">
        <v>0</v>
      </c>
      <c r="C268" s="47" t="n">
        <f aca="false">Inputs!$B$63</f>
        <v>0</v>
      </c>
      <c r="D268" s="26" t="n">
        <v>0</v>
      </c>
      <c r="E268" s="26" t="n">
        <v>0</v>
      </c>
      <c r="F268" s="26" t="n">
        <v>0</v>
      </c>
    </row>
    <row r="269" customFormat="false" ht="15" hidden="false" customHeight="false" outlineLevel="0" collapsed="false">
      <c r="A269" s="10" t="s">
        <v>547</v>
      </c>
      <c r="B269" s="47" t="n">
        <f aca="false">(B266+B265-B268+Inputs!$B$60/4*B266/2-Inputs!$B$61/4*(B267-B268/2))/(1-Inputs!$B$60/4/2)</f>
        <v>41.8977788944724</v>
      </c>
      <c r="C269" s="47" t="n">
        <f aca="false">(C266+C265-C268+Inputs!$B$60*C266/2-Inputs!$B$61*(C267-C268/2))/(1-Inputs!$B$60/2)</f>
        <v>40.3780568085325</v>
      </c>
      <c r="D269" s="47" t="n">
        <f aca="false">(D266+D265-D268+Inputs!$B$60*D266/2-Inputs!$B$61*(D267-D268/2))/(1-Inputs!$B$60/2)</f>
        <v>41.0776439272481</v>
      </c>
      <c r="E269" s="47" t="n">
        <f aca="false">(E266+E265-E268+Inputs!$B$60*E266/2-Inputs!$B$61*(E267-E268/2))/(1-Inputs!$B$60/2)</f>
        <v>44.2293597010949</v>
      </c>
      <c r="F269" s="47" t="n">
        <f aca="false">(F266+F265-F268+Inputs!$B$60*F266/2-Inputs!$B$61*(F267-F268/2))/(1-Inputs!$B$60/2)</f>
        <v>50.0840335632369</v>
      </c>
    </row>
    <row r="270" customFormat="false" ht="15" hidden="false" customHeight="false" outlineLevel="0" collapsed="false">
      <c r="A270" s="10" t="s">
        <v>548</v>
      </c>
      <c r="B270" s="47" t="n">
        <f aca="false">IF(B269&gt;=Inputs!$B$67,0,(Inputs!$B$67-B266-B265+B268-Inputs!$B$60/4*(B266+Inputs!$B$67)/2+Inputs!$B$61/4*(B267-B268/2))/(1-Inputs!$B$61/4*Inputs!$B$69/(2*(1-Inputs!$B$70))))</f>
        <v>0</v>
      </c>
      <c r="C270" s="47" t="n">
        <f aca="false">IF(C269&gt;=Inputs!$B$67,0,(Inputs!$B$67-C266-C265+C268-Inputs!$B$60*(C266+Inputs!$B$67)/2+Inputs!$B$61*(C267-C268/2))/(1-Inputs!$B$61*Inputs!$B$69/(2*(1-Inputs!$B$70))))</f>
        <v>0</v>
      </c>
      <c r="D270" s="47" t="n">
        <f aca="false">IF(D269&gt;=Inputs!$B$67,0,(Inputs!$B$67-D266-D265+D268-Inputs!$B$60*(D266+Inputs!$B$67)/2+Inputs!$B$61*(D267-D268/2))/(1-Inputs!$B$61*Inputs!$B$69/(2*(1-Inputs!$B$70))))</f>
        <v>0</v>
      </c>
      <c r="E270" s="47" t="n">
        <f aca="false">IF(E269&gt;=Inputs!$B$67,0,(Inputs!$B$67-E266-E265+E268-Inputs!$B$60*(E266+Inputs!$B$67)/2+Inputs!$B$61*(E267-E268/2))/(1-Inputs!$B$61*Inputs!$B$69/(2*(1-Inputs!$B$70))))</f>
        <v>0</v>
      </c>
      <c r="F270" s="47" t="n">
        <f aca="false">IF(F269&gt;=Inputs!$B$67,0,(Inputs!$B$67-F266-F265+F268-Inputs!$B$60*(F266+Inputs!$B$67)/2+Inputs!$B$61*(F267-F268/2))/(1-Inputs!$B$61*Inputs!$B$69/(2*(1-Inputs!$B$70))))</f>
        <v>0</v>
      </c>
    </row>
    <row r="271" customFormat="false" ht="15" hidden="false" customHeight="false" outlineLevel="0" collapsed="false">
      <c r="A271" s="10" t="s">
        <v>549</v>
      </c>
      <c r="B271" s="47" t="n">
        <f aca="false">B270/(1-Inputs!$B$70)</f>
        <v>0</v>
      </c>
      <c r="C271" s="47" t="n">
        <f aca="false">C270/(1-Inputs!$B$70)</f>
        <v>0</v>
      </c>
      <c r="D271" s="47" t="n">
        <f aca="false">D270/(1-Inputs!$B$70)</f>
        <v>0</v>
      </c>
      <c r="E271" s="47" t="n">
        <f aca="false">E270/(1-Inputs!$B$70)</f>
        <v>0</v>
      </c>
      <c r="F271" s="47" t="n">
        <f aca="false">F270/(1-Inputs!$B$70)</f>
        <v>0</v>
      </c>
    </row>
    <row r="272" customFormat="false" ht="15" hidden="false" customHeight="false" outlineLevel="0" collapsed="false">
      <c r="A272" s="10" t="s">
        <v>550</v>
      </c>
      <c r="B272" s="47" t="n">
        <f aca="false">B271*Inputs!$B$69</f>
        <v>0</v>
      </c>
      <c r="C272" s="47" t="n">
        <f aca="false">C271*Inputs!$B$69</f>
        <v>0</v>
      </c>
      <c r="D272" s="47" t="n">
        <f aca="false">D271*Inputs!$B$69</f>
        <v>0</v>
      </c>
      <c r="E272" s="47" t="n">
        <f aca="false">E271*Inputs!$B$69</f>
        <v>0</v>
      </c>
      <c r="F272" s="47" t="n">
        <f aca="false">F271*Inputs!$B$69</f>
        <v>0</v>
      </c>
    </row>
    <row r="273" customFormat="false" ht="15" hidden="false" customHeight="false" outlineLevel="0" collapsed="false">
      <c r="A273" s="10" t="s">
        <v>551</v>
      </c>
      <c r="B273" s="47" t="n">
        <f aca="false">B271-B272</f>
        <v>0</v>
      </c>
      <c r="C273" s="47" t="n">
        <f aca="false">C271-C272</f>
        <v>0</v>
      </c>
      <c r="D273" s="47" t="n">
        <f aca="false">D271-D272</f>
        <v>0</v>
      </c>
      <c r="E273" s="47" t="n">
        <f aca="false">E271-E272</f>
        <v>0</v>
      </c>
      <c r="F273" s="47" t="n">
        <f aca="false">F271-F272</f>
        <v>0</v>
      </c>
    </row>
    <row r="274" customFormat="false" ht="15" hidden="false" customHeight="false" outlineLevel="0" collapsed="false">
      <c r="A274" s="10" t="s">
        <v>552</v>
      </c>
      <c r="B274" s="47" t="n">
        <f aca="false">B271-B270</f>
        <v>0</v>
      </c>
      <c r="C274" s="47" t="n">
        <f aca="false">C271-C270</f>
        <v>0</v>
      </c>
      <c r="D274" s="47" t="n">
        <f aca="false">D271-D270</f>
        <v>0</v>
      </c>
      <c r="E274" s="47" t="n">
        <f aca="false">E271-E270</f>
        <v>0</v>
      </c>
      <c r="F274" s="47" t="n">
        <f aca="false">F271-F270</f>
        <v>0</v>
      </c>
    </row>
    <row r="275" customFormat="false" ht="15" hidden="false" customHeight="false" outlineLevel="0" collapsed="false">
      <c r="A275" s="10" t="s">
        <v>553</v>
      </c>
      <c r="B275" s="47" t="n">
        <f aca="false">Inputs!$B$60/4*(B266+B277)/2</f>
        <v>0.436723894472362</v>
      </c>
      <c r="C275" s="47" t="n">
        <f aca="false">Inputs!$B$60*(C266+C277)/2</f>
        <v>1.6455167140601</v>
      </c>
      <c r="D275" s="47" t="n">
        <f aca="false">Inputs!$B$60*(D266+D277)/2</f>
        <v>1.62911401471561</v>
      </c>
      <c r="E275" s="47" t="n">
        <f aca="false">Inputs!$B$60*(E266+E277)/2</f>
        <v>1.70614007256686</v>
      </c>
      <c r="F275" s="47" t="n">
        <f aca="false">Inputs!$B$60*(F266+F277)/2</f>
        <v>1.88626786528664</v>
      </c>
    </row>
    <row r="276" customFormat="false" ht="15" hidden="false" customHeight="false" outlineLevel="0" collapsed="false">
      <c r="A276" s="10" t="s">
        <v>554</v>
      </c>
      <c r="B276" s="47" t="n">
        <f aca="false">Inputs!$B$61/4*(B267-B268/2+B272/2)</f>
        <v>0.142845</v>
      </c>
      <c r="C276" s="47" t="n">
        <f aca="false">Inputs!$B$61*(C267-C268/2+C272/2)</f>
        <v>0.57138</v>
      </c>
      <c r="D276" s="47" t="n">
        <f aca="false">Inputs!$B$61*(D267-D268/2+D272/2)</f>
        <v>0.57138</v>
      </c>
      <c r="E276" s="47" t="n">
        <f aca="false">Inputs!$B$61*(E267-E268/2+E272/2)</f>
        <v>0.57138</v>
      </c>
      <c r="F276" s="47" t="n">
        <f aca="false">Inputs!$B$61*(F267-F268/2+F272/2)</f>
        <v>0.57138</v>
      </c>
    </row>
    <row r="277" customFormat="false" ht="15" hidden="false" customHeight="false" outlineLevel="0" collapsed="false">
      <c r="A277" s="13" t="s">
        <v>555</v>
      </c>
      <c r="B277" s="18" t="n">
        <f aca="false">IF(B270&gt;0,Inputs!$B$67,B269)</f>
        <v>41.8977788944724</v>
      </c>
      <c r="C277" s="18" t="n">
        <f aca="false">IF(C270&gt;0,Inputs!$B$67,C269)</f>
        <v>40.3780568085325</v>
      </c>
      <c r="D277" s="18" t="n">
        <f aca="false">IF(D270&gt;0,Inputs!$B$67,D269)</f>
        <v>41.0776439272481</v>
      </c>
      <c r="E277" s="18" t="n">
        <f aca="false">IF(E270&gt;0,Inputs!$B$67,E269)</f>
        <v>44.2293597010949</v>
      </c>
      <c r="F277" s="18" t="n">
        <f aca="false">IF(F270&gt;0,Inputs!$B$67,F269)</f>
        <v>50.0840335632369</v>
      </c>
    </row>
    <row r="278" customFormat="false" ht="15" hidden="false" customHeight="false" outlineLevel="0" collapsed="false">
      <c r="A278" s="10" t="s">
        <v>556</v>
      </c>
      <c r="B278" s="47" t="n">
        <f aca="false">B267-B268+B272</f>
        <v>9.523</v>
      </c>
      <c r="C278" s="47" t="n">
        <f aca="false">C267-C268+C272</f>
        <v>9.523</v>
      </c>
      <c r="D278" s="47" t="n">
        <f aca="false">D267-D268+D272</f>
        <v>9.523</v>
      </c>
      <c r="E278" s="47" t="n">
        <f aca="false">E267-E268+E272</f>
        <v>9.523</v>
      </c>
      <c r="F278" s="47" t="n">
        <f aca="false">F267-F268+F272</f>
        <v>9.523</v>
      </c>
    </row>
    <row r="279" customFormat="false" ht="15" hidden="false" customHeight="false" outlineLevel="0" collapsed="false">
      <c r="A279" s="13" t="s">
        <v>557</v>
      </c>
      <c r="B279" s="18" t="n">
        <f aca="false">B277-B278</f>
        <v>32.3747788944724</v>
      </c>
      <c r="C279" s="18" t="n">
        <f aca="false">C277-C278</f>
        <v>30.8550568085325</v>
      </c>
      <c r="D279" s="18" t="n">
        <f aca="false">D277-D278</f>
        <v>31.5546439272481</v>
      </c>
      <c r="E279" s="18" t="n">
        <f aca="false">E277-E278</f>
        <v>34.7063597010949</v>
      </c>
      <c r="F279" s="18" t="n">
        <f aca="false">F277-F278</f>
        <v>40.5610335632369</v>
      </c>
    </row>
    <row r="280" customFormat="false" ht="15" hidden="false" customHeight="false" outlineLevel="0" collapsed="false">
      <c r="A280" s="10" t="s">
        <v>558</v>
      </c>
      <c r="B280" s="33" t="n">
        <f aca="false">ROUND(B266+B265-B268+B275-B276+B270-B277,6)</f>
        <v>0</v>
      </c>
      <c r="C280" s="33" t="n">
        <f aca="false">ROUND(C266+C265-C268+C275-C276+C270-C277,6)</f>
        <v>0</v>
      </c>
      <c r="D280" s="33" t="n">
        <f aca="false">ROUND(D266+D265-D268+D275-D276+D270-D277,6)</f>
        <v>0</v>
      </c>
      <c r="E280" s="33" t="n">
        <f aca="false">ROUND(E266+E265-E268+E275-E276+E270-E277,6)</f>
        <v>0</v>
      </c>
      <c r="F280" s="33" t="n">
        <f aca="false">ROUND(F266+F265-F268+F275-F276+F270-F277,6)</f>
        <v>0</v>
      </c>
    </row>
    <row r="281" customFormat="false" ht="15" hidden="false" customHeight="false" outlineLevel="0" collapsed="false">
      <c r="A281" s="10" t="s">
        <v>559</v>
      </c>
      <c r="B281" s="47" t="n">
        <f aca="false">B271</f>
        <v>0</v>
      </c>
      <c r="C281" s="47" t="n">
        <f aca="false">B281+C271</f>
        <v>0</v>
      </c>
      <c r="D281" s="47" t="n">
        <f aca="false">C281+D271</f>
        <v>0</v>
      </c>
      <c r="E281" s="47" t="n">
        <f aca="false">D281+E271</f>
        <v>0</v>
      </c>
      <c r="F281" s="47" t="n">
        <f aca="false">E281+F271</f>
        <v>0</v>
      </c>
    </row>
    <row r="282" customFormat="false" ht="15" hidden="false" customHeight="false" outlineLevel="0" collapsed="false">
      <c r="A282" s="10" t="s">
        <v>560</v>
      </c>
      <c r="B282" s="49" t="str">
        <f aca="false">IF(B281&gt;Inputs!$B$73,"UNFUNDED: above limit",IF(B271&gt;0,"Raising","OK"))</f>
        <v>OK</v>
      </c>
      <c r="C282" s="49" t="str">
        <f aca="false">IF(C281&gt;Inputs!$B$73,"UNFUNDED: above limit",IF(C271&gt;0,"Raising","OK"))</f>
        <v>OK</v>
      </c>
      <c r="D282" s="49" t="str">
        <f aca="false">IF(D281&gt;Inputs!$B$73,"UNFUNDED: above limit",IF(D271&gt;0,"Raising","OK"))</f>
        <v>OK</v>
      </c>
      <c r="E282" s="49" t="str">
        <f aca="false">IF(E281&gt;Inputs!$B$73,"UNFUNDED: above limit",IF(E271&gt;0,"Raising","OK"))</f>
        <v>OK</v>
      </c>
      <c r="F282" s="49" t="str">
        <f aca="false">IF(F281&gt;Inputs!$B$73,"UNFUNDED: above limit",IF(F271&gt;0,"Raising","OK"))</f>
        <v>OK</v>
      </c>
    </row>
    <row r="283" customFormat="false" ht="15" hidden="false" customHeight="false" outlineLevel="0" collapsed="false">
      <c r="A283" s="10" t="s">
        <v>561</v>
      </c>
      <c r="B283" s="47" t="n">
        <f aca="false">$F$240</f>
        <v>4.09508623458354</v>
      </c>
    </row>
    <row r="284" customFormat="false" ht="15" hidden="false" customHeight="false" outlineLevel="0" collapsed="false">
      <c r="A284" s="10" t="s">
        <v>562</v>
      </c>
      <c r="B284" s="19" t="n">
        <f aca="false">IF(Inputs!$B$8=1,Inputs!$B$79,IFERROR($F$259/$F$240,0))</f>
        <v>0.2416</v>
      </c>
    </row>
    <row r="285" customFormat="false" ht="15" hidden="false" customHeight="false" outlineLevel="0" collapsed="false">
      <c r="A285" s="10" t="s">
        <v>563</v>
      </c>
      <c r="B285" s="47" t="n">
        <f aca="false">$B$283*(1-$B$284)</f>
        <v>3.10571340030815</v>
      </c>
    </row>
    <row r="286" customFormat="false" ht="15" hidden="false" customHeight="false" outlineLevel="0" collapsed="false">
      <c r="A286" s="10" t="s">
        <v>564</v>
      </c>
      <c r="B286" s="50" t="n">
        <f aca="false">Inputs!$B$152</f>
        <v>25</v>
      </c>
    </row>
    <row r="287" customFormat="false" ht="15" hidden="false" customHeight="false" outlineLevel="0" collapsed="false">
      <c r="A287" s="10" t="s">
        <v>565</v>
      </c>
      <c r="B287" s="47" t="n">
        <f aca="false">$B$285*$B$286*$F$527</f>
        <v>51.1457403400043</v>
      </c>
    </row>
    <row r="288" customFormat="false" ht="15" hidden="false" customHeight="false" outlineLevel="0" collapsed="false">
      <c r="A288" s="10" t="s">
        <v>566</v>
      </c>
      <c r="B288" s="47" t="n">
        <f aca="false">SUMPRODUCT($C$264:$F$264,$C$527:$F$527)</f>
        <v>-12.3038770437455</v>
      </c>
    </row>
    <row r="289" customFormat="false" ht="15" hidden="false" customHeight="false" outlineLevel="0" collapsed="false">
      <c r="A289" s="10" t="s">
        <v>567</v>
      </c>
      <c r="B289" s="18" t="n">
        <f aca="false">$B$287+$B$288</f>
        <v>38.8418632962588</v>
      </c>
    </row>
    <row r="290" customFormat="false" ht="15" hidden="false" customHeight="false" outlineLevel="0" collapsed="false">
      <c r="A290" s="10" t="s">
        <v>568</v>
      </c>
      <c r="B290" s="47" t="n">
        <f aca="false">$B$285+$F$239-$F$242-$F$263</f>
        <v>-1.28339520835218</v>
      </c>
    </row>
    <row r="291" customFormat="false" ht="15" hidden="false" customHeight="false" outlineLevel="0" collapsed="false">
      <c r="A291" s="10" t="s">
        <v>569</v>
      </c>
      <c r="B291" s="50" t="n">
        <f aca="false">Inputs!$B$153</f>
        <v>20</v>
      </c>
    </row>
    <row r="292" customFormat="false" ht="15" hidden="false" customHeight="false" outlineLevel="0" collapsed="false">
      <c r="A292" s="10" t="s">
        <v>570</v>
      </c>
      <c r="B292" s="47" t="n">
        <f aca="false">$B$290*$B$291*$F$527</f>
        <v>-16.9082435162172</v>
      </c>
    </row>
    <row r="293" customFormat="false" ht="15" hidden="false" customHeight="false" outlineLevel="0" collapsed="false">
      <c r="A293" s="10" t="s">
        <v>571</v>
      </c>
      <c r="B293" s="18" t="n">
        <f aca="false">$B$288+$B$292</f>
        <v>-29.2121205599626</v>
      </c>
    </row>
    <row r="294" customFormat="false" ht="15" hidden="false" customHeight="false" outlineLevel="0" collapsed="false">
      <c r="A294" s="13" t="s">
        <v>572</v>
      </c>
      <c r="B294" s="18" t="n">
        <f aca="false">$B$289*Inputs!$B$7+$B$293*(1-Inputs!$B$7)</f>
        <v>4.8148713681481</v>
      </c>
    </row>
    <row r="295" customFormat="false" ht="15" hidden="false" customHeight="false" outlineLevel="0" collapsed="false">
      <c r="A295" s="10" t="s">
        <v>573</v>
      </c>
      <c r="B295" s="47" t="n">
        <f aca="false">MAX(0,$F$245)</f>
        <v>1.46162106938734</v>
      </c>
      <c r="H295" s="51" t="n">
        <v>1</v>
      </c>
      <c r="I295" s="51" t="n">
        <v>2</v>
      </c>
      <c r="J295" s="51" t="n">
        <v>3</v>
      </c>
      <c r="K295" s="51" t="n">
        <v>4</v>
      </c>
      <c r="L295" s="51" t="n">
        <v>5</v>
      </c>
      <c r="M295" s="51" t="n">
        <v>6</v>
      </c>
      <c r="N295" s="51" t="n">
        <v>7</v>
      </c>
      <c r="O295" s="51" t="n">
        <v>8</v>
      </c>
      <c r="P295" s="51" t="n">
        <v>9</v>
      </c>
      <c r="Q295" s="51" t="n">
        <v>10</v>
      </c>
      <c r="R295" s="51" t="n">
        <v>11</v>
      </c>
      <c r="S295" s="51" t="n">
        <v>12</v>
      </c>
      <c r="T295" s="51" t="n">
        <v>13</v>
      </c>
      <c r="U295" s="51" t="n">
        <v>14</v>
      </c>
      <c r="V295" s="51" t="n">
        <v>15</v>
      </c>
      <c r="W295" s="51" t="n">
        <v>16</v>
      </c>
      <c r="X295" s="51" t="n">
        <v>17</v>
      </c>
      <c r="Y295" s="51" t="n">
        <v>18</v>
      </c>
      <c r="Z295" s="51" t="n">
        <v>19</v>
      </c>
      <c r="AA295" s="51" t="n">
        <v>20</v>
      </c>
      <c r="AB295" s="51" t="n">
        <v>21</v>
      </c>
      <c r="AC295" s="51" t="n">
        <v>22</v>
      </c>
      <c r="AD295" s="51" t="n">
        <v>23</v>
      </c>
      <c r="AE295" s="51" t="n">
        <v>24</v>
      </c>
      <c r="AF295" s="51" t="n">
        <v>25</v>
      </c>
      <c r="AG295" s="51" t="n">
        <v>26</v>
      </c>
      <c r="AH295" s="51" t="n">
        <v>27</v>
      </c>
      <c r="AI295" s="51" t="n">
        <v>28</v>
      </c>
      <c r="AJ295" s="51" t="n">
        <v>29</v>
      </c>
      <c r="AK295" s="51" t="n">
        <v>30</v>
      </c>
    </row>
    <row r="296" customFormat="false" ht="15" hidden="false" customHeight="false" outlineLevel="0" collapsed="false">
      <c r="A296" s="10" t="s">
        <v>574</v>
      </c>
      <c r="H296" s="25" t="n">
        <f aca="false">1/(1+Inputs!$B$6)^1</f>
        <v>0.900900900900901</v>
      </c>
      <c r="I296" s="25" t="n">
        <f aca="false">1/(1+Inputs!$B$6)^2</f>
        <v>0.811622433244055</v>
      </c>
      <c r="J296" s="25" t="n">
        <f aca="false">1/(1+Inputs!$B$6)^3</f>
        <v>0.73119138130095</v>
      </c>
      <c r="K296" s="25" t="n">
        <f aca="false">1/(1+Inputs!$B$6)^4</f>
        <v>0.658730974145</v>
      </c>
      <c r="L296" s="25" t="n">
        <f aca="false">1/(1+Inputs!$B$6)^5</f>
        <v>0.593451328058559</v>
      </c>
      <c r="M296" s="25" t="n">
        <f aca="false">1/(1+Inputs!$B$6)^6</f>
        <v>0.534640836088791</v>
      </c>
      <c r="N296" s="25" t="n">
        <f aca="false">1/(1+Inputs!$B$6)^7</f>
        <v>0.481658410890803</v>
      </c>
      <c r="O296" s="25" t="n">
        <f aca="false">1/(1+Inputs!$B$6)^8</f>
        <v>0.433926496298021</v>
      </c>
      <c r="P296" s="25" t="n">
        <f aca="false">1/(1+Inputs!$B$6)^9</f>
        <v>0.390924771439658</v>
      </c>
      <c r="Q296" s="25" t="n">
        <f aca="false">1/(1+Inputs!$B$6)^10</f>
        <v>0.352184478774467</v>
      </c>
      <c r="R296" s="25" t="n">
        <f aca="false">1/(1+Inputs!$B$6)^11</f>
        <v>0.317283314211231</v>
      </c>
      <c r="S296" s="25" t="n">
        <f aca="false">1/(1+Inputs!$B$6)^12</f>
        <v>0.285840823613722</v>
      </c>
      <c r="T296" s="25" t="n">
        <f aca="false">1/(1+Inputs!$B$6)^13</f>
        <v>0.257514255507858</v>
      </c>
      <c r="U296" s="25" t="n">
        <f aca="false">1/(1+Inputs!$B$6)^14</f>
        <v>0.231994824781854</v>
      </c>
      <c r="V296" s="25" t="n">
        <f aca="false">1/(1+Inputs!$B$6)^15</f>
        <v>0.209004346650319</v>
      </c>
      <c r="W296" s="25" t="n">
        <f aca="false">1/(1+Inputs!$B$6)^16</f>
        <v>0.188292204189476</v>
      </c>
      <c r="X296" s="25" t="n">
        <f aca="false">1/(1+Inputs!$B$6)^17</f>
        <v>0.169632616386915</v>
      </c>
      <c r="Y296" s="25" t="n">
        <f aca="false">1/(1+Inputs!$B$6)^18</f>
        <v>0.152822176925149</v>
      </c>
      <c r="Z296" s="25" t="n">
        <f aca="false">1/(1+Inputs!$B$6)^19</f>
        <v>0.137677636869504</v>
      </c>
      <c r="AA296" s="25" t="n">
        <f aca="false">1/(1+Inputs!$B$6)^20</f>
        <v>0.124033907089643</v>
      </c>
      <c r="AB296" s="25" t="n">
        <f aca="false">1/(1+Inputs!$B$6)^21</f>
        <v>0.111742258639318</v>
      </c>
      <c r="AC296" s="25" t="n">
        <f aca="false">1/(1+Inputs!$B$6)^22</f>
        <v>0.100668701476863</v>
      </c>
      <c r="AD296" s="25" t="n">
        <f aca="false">1/(1+Inputs!$B$6)^23</f>
        <v>0.0906925238530297</v>
      </c>
      <c r="AE296" s="25" t="n">
        <f aca="false">1/(1+Inputs!$B$6)^24</f>
        <v>0.0817049764441709</v>
      </c>
      <c r="AF296" s="25" t="n">
        <f aca="false">1/(1+Inputs!$B$6)^25</f>
        <v>0.0736080868866405</v>
      </c>
      <c r="AG296" s="25" t="n">
        <f aca="false">1/(1+Inputs!$B$6)^26</f>
        <v>0.0663135917897662</v>
      </c>
      <c r="AH296" s="25" t="n">
        <f aca="false">1/(1+Inputs!$B$6)^27</f>
        <v>0.0597419745853749</v>
      </c>
      <c r="AI296" s="25" t="n">
        <f aca="false">1/(1+Inputs!$B$6)^28</f>
        <v>0.053821598725563</v>
      </c>
      <c r="AJ296" s="25" t="n">
        <f aca="false">1/(1+Inputs!$B$6)^29</f>
        <v>0.0484879267797865</v>
      </c>
      <c r="AK296" s="25" t="n">
        <f aca="false">1/(1+Inputs!$B$6)^30</f>
        <v>0.0436828169187266</v>
      </c>
    </row>
    <row r="297" customFormat="false" ht="15" hidden="false" customHeight="false" outlineLevel="0" collapsed="false">
      <c r="A297" s="10" t="s">
        <v>575</v>
      </c>
      <c r="G297" s="47" t="n">
        <f aca="false">$F$248</f>
        <v>4.01857893061267</v>
      </c>
      <c r="H297" s="47" t="n">
        <f aca="false">G297</f>
        <v>4.01857893061267</v>
      </c>
      <c r="I297" s="47" t="n">
        <f aca="false">H297-H298</f>
        <v>2.55695786122533</v>
      </c>
      <c r="J297" s="47" t="n">
        <f aca="false">I297-I298</f>
        <v>1.09533679183799</v>
      </c>
      <c r="K297" s="47" t="n">
        <f aca="false">J297-J298</f>
        <v>0</v>
      </c>
      <c r="L297" s="47" t="n">
        <f aca="false">K297-K298</f>
        <v>0</v>
      </c>
      <c r="M297" s="47" t="n">
        <f aca="false">L297-L298</f>
        <v>0</v>
      </c>
      <c r="N297" s="47" t="n">
        <f aca="false">M297-M298</f>
        <v>0</v>
      </c>
      <c r="O297" s="47" t="n">
        <f aca="false">N297-N298</f>
        <v>0</v>
      </c>
      <c r="P297" s="47" t="n">
        <f aca="false">O297-O298</f>
        <v>0</v>
      </c>
      <c r="Q297" s="47" t="n">
        <f aca="false">P297-P298</f>
        <v>0</v>
      </c>
      <c r="R297" s="47" t="n">
        <f aca="false">Q297-Q298</f>
        <v>0</v>
      </c>
      <c r="S297" s="47" t="n">
        <f aca="false">R297-R298</f>
        <v>0</v>
      </c>
      <c r="T297" s="47" t="n">
        <f aca="false">S297-S298</f>
        <v>0</v>
      </c>
      <c r="U297" s="47" t="n">
        <f aca="false">T297-T298</f>
        <v>0</v>
      </c>
      <c r="V297" s="47" t="n">
        <f aca="false">U297-U298</f>
        <v>0</v>
      </c>
      <c r="W297" s="47" t="n">
        <f aca="false">V297-V298</f>
        <v>0</v>
      </c>
      <c r="X297" s="47" t="n">
        <f aca="false">W297-W298</f>
        <v>0</v>
      </c>
      <c r="Y297" s="47" t="n">
        <f aca="false">X297-X298</f>
        <v>0</v>
      </c>
      <c r="Z297" s="47" t="n">
        <f aca="false">Y297-Y298</f>
        <v>0</v>
      </c>
      <c r="AA297" s="47" t="n">
        <f aca="false">Z297-Z298</f>
        <v>0</v>
      </c>
      <c r="AB297" s="47" t="n">
        <f aca="false">AA297-AA298</f>
        <v>0</v>
      </c>
      <c r="AC297" s="47" t="n">
        <f aca="false">AB297-AB298</f>
        <v>0</v>
      </c>
      <c r="AD297" s="47" t="n">
        <f aca="false">AC297-AC298</f>
        <v>0</v>
      </c>
      <c r="AE297" s="47" t="n">
        <f aca="false">AD297-AD298</f>
        <v>0</v>
      </c>
      <c r="AF297" s="47" t="n">
        <f aca="false">AE297-AE298</f>
        <v>0</v>
      </c>
      <c r="AG297" s="47" t="n">
        <f aca="false">AF297-AF298</f>
        <v>0</v>
      </c>
      <c r="AH297" s="47" t="n">
        <f aca="false">AG297-AG298</f>
        <v>0</v>
      </c>
      <c r="AI297" s="47" t="n">
        <f aca="false">AH297-AH298</f>
        <v>0</v>
      </c>
      <c r="AJ297" s="47" t="n">
        <f aca="false">AI297-AI298</f>
        <v>0</v>
      </c>
      <c r="AK297" s="47" t="n">
        <f aca="false">AJ297-AJ298</f>
        <v>0</v>
      </c>
    </row>
    <row r="298" customFormat="false" ht="15" hidden="false" customHeight="false" outlineLevel="0" collapsed="false">
      <c r="A298" s="10" t="s">
        <v>576</v>
      </c>
      <c r="H298" s="47" t="n">
        <f aca="false">IF(1&lt;=Inputs!$B$44,MIN(H297,$B$295,1E+099),0)</f>
        <v>1.46162106938734</v>
      </c>
      <c r="I298" s="47" t="n">
        <f aca="false">IF(2&lt;=Inputs!$B$44,MIN(I297,$B$295,1E+099),0)</f>
        <v>1.46162106938734</v>
      </c>
      <c r="J298" s="47" t="n">
        <f aca="false">IF(3&lt;=Inputs!$B$44,MIN(J297,$B$295,1E+099),0)</f>
        <v>1.09533679183799</v>
      </c>
      <c r="K298" s="47" t="n">
        <f aca="false">IF(4&lt;=Inputs!$B$44,MIN(K297,$B$295,1E+099),0)</f>
        <v>0</v>
      </c>
      <c r="L298" s="47" t="n">
        <f aca="false">IF(5&lt;=Inputs!$B$44,MIN(L297,$B$295,1E+099),0)</f>
        <v>0</v>
      </c>
      <c r="M298" s="47" t="n">
        <f aca="false">IF(6&lt;=Inputs!$B$44,MIN(M297,$B$295,1E+099),0)</f>
        <v>0</v>
      </c>
      <c r="N298" s="47" t="n">
        <f aca="false">IF(7&lt;=Inputs!$B$44,MIN(N297,$B$295,1E+099),0)</f>
        <v>0</v>
      </c>
      <c r="O298" s="47" t="n">
        <f aca="false">IF(8&lt;=Inputs!$B$44,MIN(O297,$B$295,1E+099),0)</f>
        <v>0</v>
      </c>
      <c r="P298" s="47" t="n">
        <f aca="false">IF(9&lt;=Inputs!$B$44,MIN(P297,$B$295,1E+099),0)</f>
        <v>0</v>
      </c>
      <c r="Q298" s="47" t="n">
        <f aca="false">IF(10&lt;=Inputs!$B$44,MIN(Q297,$B$295,1E+099),0)</f>
        <v>0</v>
      </c>
      <c r="R298" s="47" t="n">
        <f aca="false">IF(11&lt;=Inputs!$B$44,MIN(R297,$B$295,1E+099),0)</f>
        <v>0</v>
      </c>
      <c r="S298" s="47" t="n">
        <f aca="false">IF(12&lt;=Inputs!$B$44,MIN(S297,$B$295,1E+099),0)</f>
        <v>0</v>
      </c>
      <c r="T298" s="47" t="n">
        <f aca="false">IF(13&lt;=Inputs!$B$44,MIN(T297,$B$295,1E+099),0)</f>
        <v>0</v>
      </c>
      <c r="U298" s="47" t="n">
        <f aca="false">IF(14&lt;=Inputs!$B$44,MIN(U297,$B$295,1E+099),0)</f>
        <v>0</v>
      </c>
      <c r="V298" s="47" t="n">
        <f aca="false">IF(15&lt;=Inputs!$B$44,MIN(V297,$B$295,1E+099),0)</f>
        <v>0</v>
      </c>
      <c r="W298" s="47" t="n">
        <f aca="false">IF(16&lt;=Inputs!$B$44,MIN(W297,$B$295,1E+099),0)</f>
        <v>0</v>
      </c>
      <c r="X298" s="47" t="n">
        <f aca="false">IF(17&lt;=Inputs!$B$44,MIN(X297,$B$295,1E+099),0)</f>
        <v>0</v>
      </c>
      <c r="Y298" s="47" t="n">
        <f aca="false">IF(18&lt;=Inputs!$B$44,MIN(Y297,$B$295,1E+099),0)</f>
        <v>0</v>
      </c>
      <c r="Z298" s="47" t="n">
        <f aca="false">IF(19&lt;=Inputs!$B$44,MIN(Z297,$B$295,1E+099),0)</f>
        <v>0</v>
      </c>
      <c r="AA298" s="47" t="n">
        <f aca="false">IF(20&lt;=Inputs!$B$44,MIN(AA297,$B$295,1E+099),0)</f>
        <v>0</v>
      </c>
      <c r="AB298" s="47" t="n">
        <f aca="false">IF(21&lt;=Inputs!$B$44,MIN(AB297,$B$295,1E+099),0)</f>
        <v>0</v>
      </c>
      <c r="AC298" s="47" t="n">
        <f aca="false">IF(22&lt;=Inputs!$B$44,MIN(AC297,$B$295,1E+099),0)</f>
        <v>0</v>
      </c>
      <c r="AD298" s="47" t="n">
        <f aca="false">IF(23&lt;=Inputs!$B$44,MIN(AD297,$B$295,1E+099),0)</f>
        <v>0</v>
      </c>
      <c r="AE298" s="47" t="n">
        <f aca="false">IF(24&lt;=Inputs!$B$44,MIN(AE297,$B$295,1E+099),0)</f>
        <v>0</v>
      </c>
      <c r="AF298" s="47" t="n">
        <f aca="false">IF(25&lt;=Inputs!$B$44,MIN(AF297,$B$295,1E+099),0)</f>
        <v>0</v>
      </c>
      <c r="AG298" s="47" t="n">
        <f aca="false">IF(26&lt;=Inputs!$B$44,MIN(AG297,$B$295,1E+099),0)</f>
        <v>0</v>
      </c>
      <c r="AH298" s="47" t="n">
        <f aca="false">IF(27&lt;=Inputs!$B$44,MIN(AH297,$B$295,1E+099),0)</f>
        <v>0</v>
      </c>
      <c r="AI298" s="47" t="n">
        <f aca="false">IF(28&lt;=Inputs!$B$44,MIN(AI297,$B$295,1E+099),0)</f>
        <v>0</v>
      </c>
      <c r="AJ298" s="47" t="n">
        <f aca="false">IF(29&lt;=Inputs!$B$44,MIN(AJ297,$B$295,1E+099),0)</f>
        <v>0</v>
      </c>
      <c r="AK298" s="47" t="n">
        <f aca="false">IF(30&lt;=Inputs!$B$44,MIN(AK297,$B$295,1E+099),0)</f>
        <v>0</v>
      </c>
    </row>
    <row r="299" customFormat="false" ht="15" hidden="false" customHeight="false" outlineLevel="0" collapsed="false">
      <c r="A299" s="10" t="s">
        <v>577</v>
      </c>
      <c r="G299" s="47" t="n">
        <f aca="false">$F$249</f>
        <v>3.8249530808</v>
      </c>
      <c r="H299" s="47" t="n">
        <f aca="false">G299</f>
        <v>3.8249530808</v>
      </c>
      <c r="I299" s="47" t="n">
        <f aca="false">H299-H300</f>
        <v>3.8249530808</v>
      </c>
      <c r="J299" s="47" t="n">
        <f aca="false">I299-I300</f>
        <v>3.8249530808</v>
      </c>
      <c r="K299" s="47" t="n">
        <f aca="false">J299-J300</f>
        <v>3.45866880325065</v>
      </c>
      <c r="L299" s="47" t="n">
        <f aca="false">K299-K300</f>
        <v>1.99704773386332</v>
      </c>
      <c r="M299" s="47" t="n">
        <f aca="false">L299-L300</f>
        <v>0.535426664475985</v>
      </c>
      <c r="N299" s="47" t="n">
        <f aca="false">M299-M300</f>
        <v>0.535426664475985</v>
      </c>
      <c r="O299" s="47" t="n">
        <f aca="false">N299-N300</f>
        <v>0.535426664475985</v>
      </c>
      <c r="P299" s="47" t="n">
        <f aca="false">O299-O300</f>
        <v>0.535426664475985</v>
      </c>
      <c r="Q299" s="47" t="n">
        <f aca="false">P299-P300</f>
        <v>0.535426664475985</v>
      </c>
      <c r="R299" s="47" t="n">
        <f aca="false">Q299-Q300</f>
        <v>0.535426664475985</v>
      </c>
      <c r="S299" s="47" t="n">
        <f aca="false">R299-R300</f>
        <v>0.535426664475985</v>
      </c>
      <c r="T299" s="47" t="n">
        <f aca="false">S299-S300</f>
        <v>0.535426664475985</v>
      </c>
      <c r="U299" s="47" t="n">
        <f aca="false">T299-T300</f>
        <v>0.535426664475985</v>
      </c>
      <c r="V299" s="47" t="n">
        <f aca="false">U299-U300</f>
        <v>0.535426664475985</v>
      </c>
      <c r="W299" s="47" t="n">
        <f aca="false">V299-V300</f>
        <v>0.535426664475985</v>
      </c>
      <c r="X299" s="47" t="n">
        <f aca="false">W299-W300</f>
        <v>0.535426664475985</v>
      </c>
      <c r="Y299" s="47" t="n">
        <f aca="false">X299-X300</f>
        <v>0.535426664475985</v>
      </c>
      <c r="Z299" s="47" t="n">
        <f aca="false">Y299-Y300</f>
        <v>0.535426664475985</v>
      </c>
      <c r="AA299" s="47" t="n">
        <f aca="false">Z299-Z300</f>
        <v>0.535426664475985</v>
      </c>
      <c r="AB299" s="47" t="n">
        <f aca="false">AA299-AA300</f>
        <v>0.535426664475985</v>
      </c>
      <c r="AC299" s="47" t="n">
        <f aca="false">AB299-AB300</f>
        <v>0.535426664475985</v>
      </c>
      <c r="AD299" s="47" t="n">
        <f aca="false">AC299-AC300</f>
        <v>0.535426664475985</v>
      </c>
      <c r="AE299" s="47" t="n">
        <f aca="false">AD299-AD300</f>
        <v>0.535426664475985</v>
      </c>
      <c r="AF299" s="47" t="n">
        <f aca="false">AE299-AE300</f>
        <v>0.535426664475985</v>
      </c>
      <c r="AG299" s="47" t="n">
        <f aca="false">AF299-AF300</f>
        <v>0.535426664475985</v>
      </c>
      <c r="AH299" s="47" t="n">
        <f aca="false">AG299-AG300</f>
        <v>0.535426664475985</v>
      </c>
      <c r="AI299" s="47" t="n">
        <f aca="false">AH299-AH300</f>
        <v>0.535426664475985</v>
      </c>
      <c r="AJ299" s="47" t="n">
        <f aca="false">AI299-AI300</f>
        <v>0.535426664475985</v>
      </c>
      <c r="AK299" s="47" t="n">
        <f aca="false">AJ299-AJ300</f>
        <v>0.535426664475985</v>
      </c>
    </row>
    <row r="300" customFormat="false" ht="15" hidden="false" customHeight="false" outlineLevel="0" collapsed="false">
      <c r="A300" s="10" t="s">
        <v>576</v>
      </c>
      <c r="H300" s="47" t="n">
        <f aca="false">IF(1&lt;=Inputs!$B$44,MIN(H299,$B$295-H298),0)</f>
        <v>0</v>
      </c>
      <c r="I300" s="47" t="n">
        <f aca="false">IF(2&lt;=Inputs!$B$44,MIN(I299,$B$295-I298),0)</f>
        <v>0</v>
      </c>
      <c r="J300" s="47" t="n">
        <f aca="false">IF(3&lt;=Inputs!$B$44,MIN(J299,$B$295-J298),0)</f>
        <v>0.36628427754934</v>
      </c>
      <c r="K300" s="47" t="n">
        <f aca="false">IF(4&lt;=Inputs!$B$44,MIN(K299,$B$295-K298),0)</f>
        <v>1.46162106938734</v>
      </c>
      <c r="L300" s="47" t="n">
        <f aca="false">IF(5&lt;=Inputs!$B$44,MIN(L299,$B$295-L298),0)</f>
        <v>1.46162106938734</v>
      </c>
      <c r="M300" s="47" t="n">
        <f aca="false">IF(6&lt;=Inputs!$B$44,MIN(M299,$B$295-M298),0)</f>
        <v>0</v>
      </c>
      <c r="N300" s="47" t="n">
        <f aca="false">IF(7&lt;=Inputs!$B$44,MIN(N299,$B$295-N298),0)</f>
        <v>0</v>
      </c>
      <c r="O300" s="47" t="n">
        <f aca="false">IF(8&lt;=Inputs!$B$44,MIN(O299,$B$295-O298),0)</f>
        <v>0</v>
      </c>
      <c r="P300" s="47" t="n">
        <f aca="false">IF(9&lt;=Inputs!$B$44,MIN(P299,$B$295-P298),0)</f>
        <v>0</v>
      </c>
      <c r="Q300" s="47" t="n">
        <f aca="false">IF(10&lt;=Inputs!$B$44,MIN(Q299,$B$295-Q298),0)</f>
        <v>0</v>
      </c>
      <c r="R300" s="47" t="n">
        <f aca="false">IF(11&lt;=Inputs!$B$44,MIN(R299,$B$295-R298),0)</f>
        <v>0</v>
      </c>
      <c r="S300" s="47" t="n">
        <f aca="false">IF(12&lt;=Inputs!$B$44,MIN(S299,$B$295-S298),0)</f>
        <v>0</v>
      </c>
      <c r="T300" s="47" t="n">
        <f aca="false">IF(13&lt;=Inputs!$B$44,MIN(T299,$B$295-T298),0)</f>
        <v>0</v>
      </c>
      <c r="U300" s="47" t="n">
        <f aca="false">IF(14&lt;=Inputs!$B$44,MIN(U299,$B$295-U298),0)</f>
        <v>0</v>
      </c>
      <c r="V300" s="47" t="n">
        <f aca="false">IF(15&lt;=Inputs!$B$44,MIN(V299,$B$295-V298),0)</f>
        <v>0</v>
      </c>
      <c r="W300" s="47" t="n">
        <f aca="false">IF(16&lt;=Inputs!$B$44,MIN(W299,$B$295-W298),0)</f>
        <v>0</v>
      </c>
      <c r="X300" s="47" t="n">
        <f aca="false">IF(17&lt;=Inputs!$B$44,MIN(X299,$B$295-X298),0)</f>
        <v>0</v>
      </c>
      <c r="Y300" s="47" t="n">
        <f aca="false">IF(18&lt;=Inputs!$B$44,MIN(Y299,$B$295-Y298),0)</f>
        <v>0</v>
      </c>
      <c r="Z300" s="47" t="n">
        <f aca="false">IF(19&lt;=Inputs!$B$44,MIN(Z299,$B$295-Z298),0)</f>
        <v>0</v>
      </c>
      <c r="AA300" s="47" t="n">
        <f aca="false">IF(20&lt;=Inputs!$B$44,MIN(AA299,$B$295-AA298),0)</f>
        <v>0</v>
      </c>
      <c r="AB300" s="47" t="n">
        <f aca="false">IF(21&lt;=Inputs!$B$44,MIN(AB299,$B$295-AB298),0)</f>
        <v>0</v>
      </c>
      <c r="AC300" s="47" t="n">
        <f aca="false">IF(22&lt;=Inputs!$B$44,MIN(AC299,$B$295-AC298),0)</f>
        <v>0</v>
      </c>
      <c r="AD300" s="47" t="n">
        <f aca="false">IF(23&lt;=Inputs!$B$44,MIN(AD299,$B$295-AD298),0)</f>
        <v>0</v>
      </c>
      <c r="AE300" s="47" t="n">
        <f aca="false">IF(24&lt;=Inputs!$B$44,MIN(AE299,$B$295-AE298),0)</f>
        <v>0</v>
      </c>
      <c r="AF300" s="47" t="n">
        <f aca="false">IF(25&lt;=Inputs!$B$44,MIN(AF299,$B$295-AF298),0)</f>
        <v>0</v>
      </c>
      <c r="AG300" s="47" t="n">
        <f aca="false">IF(26&lt;=Inputs!$B$44,MIN(AG299,$B$295-AG298),0)</f>
        <v>0</v>
      </c>
      <c r="AH300" s="47" t="n">
        <f aca="false">IF(27&lt;=Inputs!$B$44,MIN(AH299,$B$295-AH298),0)</f>
        <v>0</v>
      </c>
      <c r="AI300" s="47" t="n">
        <f aca="false">IF(28&lt;=Inputs!$B$44,MIN(AI299,$B$295-AI298),0)</f>
        <v>0</v>
      </c>
      <c r="AJ300" s="47" t="n">
        <f aca="false">IF(29&lt;=Inputs!$B$44,MIN(AJ299,$B$295-AJ298),0)</f>
        <v>0</v>
      </c>
      <c r="AK300" s="47" t="n">
        <f aca="false">IF(30&lt;=Inputs!$B$44,MIN(AK299,$B$295-AK298),0)</f>
        <v>0</v>
      </c>
    </row>
    <row r="301" customFormat="false" ht="15" hidden="false" customHeight="false" outlineLevel="0" collapsed="false">
      <c r="A301" s="10" t="s">
        <v>578</v>
      </c>
      <c r="H301" s="47" t="n">
        <f aca="false">($B$295-H298-H300)*Inputs!$B$34</f>
        <v>0</v>
      </c>
      <c r="I301" s="47" t="n">
        <f aca="false">($B$295-I298-I300)*Inputs!$B$34</f>
        <v>0</v>
      </c>
      <c r="J301" s="47" t="n">
        <f aca="false">($B$295-J298-J300)*Inputs!$B$34</f>
        <v>0</v>
      </c>
      <c r="K301" s="47" t="n">
        <f aca="false">($B$295-K298-K300)*Inputs!$B$34</f>
        <v>0</v>
      </c>
      <c r="L301" s="47" t="n">
        <f aca="false">($B$295-L298-L300)*Inputs!$B$34</f>
        <v>0</v>
      </c>
      <c r="M301" s="47" t="n">
        <f aca="false">($B$295-M298-M300)*Inputs!$B$34</f>
        <v>0.0584648427754934</v>
      </c>
      <c r="N301" s="47" t="n">
        <f aca="false">($B$295-N298-N300)*Inputs!$B$34</f>
        <v>0.0584648427754934</v>
      </c>
      <c r="O301" s="47" t="n">
        <f aca="false">($B$295-O298-O300)*Inputs!$B$34</f>
        <v>0.0584648427754934</v>
      </c>
      <c r="P301" s="47" t="n">
        <f aca="false">($B$295-P298-P300)*Inputs!$B$34</f>
        <v>0.0584648427754934</v>
      </c>
      <c r="Q301" s="47" t="n">
        <f aca="false">($B$295-Q298-Q300)*Inputs!$B$34</f>
        <v>0.0584648427754934</v>
      </c>
      <c r="R301" s="47" t="n">
        <f aca="false">($B$295-R298-R300)*Inputs!$B$34</f>
        <v>0.0584648427754934</v>
      </c>
      <c r="S301" s="47" t="n">
        <f aca="false">($B$295-S298-S300)*Inputs!$B$34</f>
        <v>0.0584648427754934</v>
      </c>
      <c r="T301" s="47" t="n">
        <f aca="false">($B$295-T298-T300)*Inputs!$B$34</f>
        <v>0.0584648427754934</v>
      </c>
      <c r="U301" s="47" t="n">
        <f aca="false">($B$295-U298-U300)*Inputs!$B$34</f>
        <v>0.0584648427754934</v>
      </c>
      <c r="V301" s="47" t="n">
        <f aca="false">($B$295-V298-V300)*Inputs!$B$34</f>
        <v>0.0584648427754934</v>
      </c>
      <c r="W301" s="47" t="n">
        <f aca="false">($B$295-W298-W300)*Inputs!$B$34</f>
        <v>0.0584648427754934</v>
      </c>
      <c r="X301" s="47" t="n">
        <f aca="false">($B$295-X298-X300)*Inputs!$B$34</f>
        <v>0.0584648427754934</v>
      </c>
      <c r="Y301" s="47" t="n">
        <f aca="false">($B$295-Y298-Y300)*Inputs!$B$34</f>
        <v>0.0584648427754934</v>
      </c>
      <c r="Z301" s="47" t="n">
        <f aca="false">($B$295-Z298-Z300)*Inputs!$B$34</f>
        <v>0.0584648427754934</v>
      </c>
      <c r="AA301" s="47" t="n">
        <f aca="false">($B$295-AA298-AA300)*Inputs!$B$34</f>
        <v>0.0584648427754934</v>
      </c>
      <c r="AB301" s="47" t="n">
        <f aca="false">($B$295-AB298-AB300)*Inputs!$B$34</f>
        <v>0.0584648427754934</v>
      </c>
      <c r="AC301" s="47" t="n">
        <f aca="false">($B$295-AC298-AC300)*Inputs!$B$34</f>
        <v>0.0584648427754934</v>
      </c>
      <c r="AD301" s="47" t="n">
        <f aca="false">($B$295-AD298-AD300)*Inputs!$B$34</f>
        <v>0.0584648427754934</v>
      </c>
      <c r="AE301" s="47" t="n">
        <f aca="false">($B$295-AE298-AE300)*Inputs!$B$34</f>
        <v>0.0584648427754934</v>
      </c>
      <c r="AF301" s="47" t="n">
        <f aca="false">($B$295-AF298-AF300)*Inputs!$B$34</f>
        <v>0.0584648427754934</v>
      </c>
      <c r="AG301" s="47" t="n">
        <f aca="false">($B$295-AG298-AG300)*Inputs!$B$34</f>
        <v>0.0584648427754934</v>
      </c>
      <c r="AH301" s="47" t="n">
        <f aca="false">($B$295-AH298-AH300)*Inputs!$B$34</f>
        <v>0.0584648427754934</v>
      </c>
      <c r="AI301" s="47" t="n">
        <f aca="false">($B$295-AI298-AI300)*Inputs!$B$34</f>
        <v>0.0584648427754934</v>
      </c>
      <c r="AJ301" s="47" t="n">
        <f aca="false">($B$295-AJ298-AJ300)*Inputs!$B$34</f>
        <v>0.0584648427754934</v>
      </c>
      <c r="AK301" s="47" t="n">
        <f aca="false">($B$295-AK298-AK300)*Inputs!$B$34</f>
        <v>0.0584648427754934</v>
      </c>
    </row>
    <row r="302" customFormat="false" ht="15" hidden="false" customHeight="false" outlineLevel="0" collapsed="false">
      <c r="A302" s="10" t="s">
        <v>579</v>
      </c>
      <c r="H302" s="47" t="n">
        <f aca="false">$B$295-H301</f>
        <v>1.46162106938734</v>
      </c>
      <c r="I302" s="47" t="n">
        <f aca="false">$B$295-I301</f>
        <v>1.46162106938734</v>
      </c>
      <c r="J302" s="47" t="n">
        <f aca="false">$B$295-J301</f>
        <v>1.46162106938734</v>
      </c>
      <c r="K302" s="47" t="n">
        <f aca="false">$B$295-K301</f>
        <v>1.46162106938734</v>
      </c>
      <c r="L302" s="47" t="n">
        <f aca="false">$B$295-L301</f>
        <v>1.46162106938734</v>
      </c>
      <c r="M302" s="47" t="n">
        <f aca="false">$B$295-M301</f>
        <v>1.40315622661184</v>
      </c>
      <c r="N302" s="47" t="n">
        <f aca="false">$B$295-N301</f>
        <v>1.40315622661184</v>
      </c>
      <c r="O302" s="47" t="n">
        <f aca="false">$B$295-O301</f>
        <v>1.40315622661184</v>
      </c>
      <c r="P302" s="47" t="n">
        <f aca="false">$B$295-P301</f>
        <v>1.40315622661184</v>
      </c>
      <c r="Q302" s="47" t="n">
        <f aca="false">$B$295-Q301</f>
        <v>1.40315622661184</v>
      </c>
      <c r="R302" s="47" t="n">
        <f aca="false">$B$295-R301</f>
        <v>1.40315622661184</v>
      </c>
      <c r="S302" s="47" t="n">
        <f aca="false">$B$295-S301</f>
        <v>1.40315622661184</v>
      </c>
      <c r="T302" s="47" t="n">
        <f aca="false">$B$295-T301</f>
        <v>1.40315622661184</v>
      </c>
      <c r="U302" s="47" t="n">
        <f aca="false">$B$295-U301</f>
        <v>1.40315622661184</v>
      </c>
      <c r="V302" s="47" t="n">
        <f aca="false">$B$295-V301</f>
        <v>1.40315622661184</v>
      </c>
      <c r="W302" s="47" t="n">
        <f aca="false">$B$295-W301</f>
        <v>1.40315622661184</v>
      </c>
      <c r="X302" s="47" t="n">
        <f aca="false">$B$295-X301</f>
        <v>1.40315622661184</v>
      </c>
      <c r="Y302" s="47" t="n">
        <f aca="false">$B$295-Y301</f>
        <v>1.40315622661184</v>
      </c>
      <c r="Z302" s="47" t="n">
        <f aca="false">$B$295-Z301</f>
        <v>1.40315622661184</v>
      </c>
      <c r="AA302" s="47" t="n">
        <f aca="false">$B$295-AA301</f>
        <v>1.40315622661184</v>
      </c>
      <c r="AB302" s="47" t="n">
        <f aca="false">$B$295-AB301</f>
        <v>1.40315622661184</v>
      </c>
      <c r="AC302" s="47" t="n">
        <f aca="false">$B$295-AC301</f>
        <v>1.40315622661184</v>
      </c>
      <c r="AD302" s="47" t="n">
        <f aca="false">$B$295-AD301</f>
        <v>1.40315622661184</v>
      </c>
      <c r="AE302" s="47" t="n">
        <f aca="false">$B$295-AE301</f>
        <v>1.40315622661184</v>
      </c>
      <c r="AF302" s="47" t="n">
        <f aca="false">$B$295-AF301</f>
        <v>1.40315622661184</v>
      </c>
      <c r="AG302" s="47" t="n">
        <f aca="false">$B$295-AG301</f>
        <v>1.40315622661184</v>
      </c>
      <c r="AH302" s="47" t="n">
        <f aca="false">$B$295-AH301</f>
        <v>1.40315622661184</v>
      </c>
      <c r="AI302" s="47" t="n">
        <f aca="false">$B$295-AI301</f>
        <v>1.40315622661184</v>
      </c>
      <c r="AJ302" s="47" t="n">
        <f aca="false">$B$295-AJ301</f>
        <v>1.40315622661184</v>
      </c>
      <c r="AK302" s="47" t="n">
        <f aca="false">$B$295-AK301</f>
        <v>1.40315622661184</v>
      </c>
    </row>
    <row r="303" customFormat="false" ht="15" hidden="false" customHeight="false" outlineLevel="0" collapsed="false">
      <c r="A303" s="10" t="s">
        <v>580</v>
      </c>
      <c r="G303" s="47" t="n">
        <f aca="false">$F$254</f>
        <v>4.31090314449013</v>
      </c>
      <c r="H303" s="47" t="n">
        <f aca="false">G303</f>
        <v>4.31090314449013</v>
      </c>
      <c r="I303" s="47" t="n">
        <f aca="false">H303-H304</f>
        <v>3.14160628898026</v>
      </c>
      <c r="J303" s="47" t="n">
        <f aca="false">I303-I304</f>
        <v>1.9723094334704</v>
      </c>
      <c r="K303" s="47" t="n">
        <f aca="false">J303-J304</f>
        <v>0.803012577960527</v>
      </c>
      <c r="L303" s="47" t="n">
        <f aca="false">K303-K304</f>
        <v>0</v>
      </c>
      <c r="M303" s="47" t="n">
        <f aca="false">L303-L304</f>
        <v>0</v>
      </c>
      <c r="N303" s="47" t="n">
        <f aca="false">M303-M304</f>
        <v>0</v>
      </c>
      <c r="O303" s="47" t="n">
        <f aca="false">N303-N304</f>
        <v>0</v>
      </c>
      <c r="P303" s="47" t="n">
        <f aca="false">O303-O304</f>
        <v>0</v>
      </c>
      <c r="Q303" s="47" t="n">
        <f aca="false">P303-P304</f>
        <v>0</v>
      </c>
      <c r="R303" s="47" t="n">
        <f aca="false">Q303-Q304</f>
        <v>0</v>
      </c>
      <c r="S303" s="47" t="n">
        <f aca="false">R303-R304</f>
        <v>0</v>
      </c>
      <c r="T303" s="47" t="n">
        <f aca="false">S303-S304</f>
        <v>0</v>
      </c>
      <c r="U303" s="47" t="n">
        <f aca="false">T303-T304</f>
        <v>0</v>
      </c>
      <c r="V303" s="47" t="n">
        <f aca="false">U303-U304</f>
        <v>0</v>
      </c>
      <c r="W303" s="47" t="n">
        <f aca="false">V303-V304</f>
        <v>0</v>
      </c>
      <c r="X303" s="47" t="n">
        <f aca="false">W303-W304</f>
        <v>0</v>
      </c>
      <c r="Y303" s="47" t="n">
        <f aca="false">X303-X304</f>
        <v>0</v>
      </c>
      <c r="Z303" s="47" t="n">
        <f aca="false">Y303-Y304</f>
        <v>0</v>
      </c>
      <c r="AA303" s="47" t="n">
        <f aca="false">Z303-Z304</f>
        <v>0</v>
      </c>
      <c r="AB303" s="47" t="n">
        <f aca="false">AA303-AA304</f>
        <v>0</v>
      </c>
      <c r="AC303" s="47" t="n">
        <f aca="false">AB303-AB304</f>
        <v>0</v>
      </c>
      <c r="AD303" s="47" t="n">
        <f aca="false">AC303-AC304</f>
        <v>0</v>
      </c>
      <c r="AE303" s="47" t="n">
        <f aca="false">AD303-AD304</f>
        <v>0</v>
      </c>
      <c r="AF303" s="47" t="n">
        <f aca="false">AE303-AE304</f>
        <v>0</v>
      </c>
      <c r="AG303" s="47" t="n">
        <f aca="false">AF303-AF304</f>
        <v>0</v>
      </c>
      <c r="AH303" s="47" t="n">
        <f aca="false">AG303-AG304</f>
        <v>0</v>
      </c>
      <c r="AI303" s="47" t="n">
        <f aca="false">AH303-AH304</f>
        <v>0</v>
      </c>
      <c r="AJ303" s="47" t="n">
        <f aca="false">AI303-AI304</f>
        <v>0</v>
      </c>
      <c r="AK303" s="47" t="n">
        <f aca="false">AJ303-AJ304</f>
        <v>0</v>
      </c>
    </row>
    <row r="304" customFormat="false" ht="15" hidden="false" customHeight="false" outlineLevel="0" collapsed="false">
      <c r="A304" s="10" t="s">
        <v>581</v>
      </c>
      <c r="H304" s="47" t="n">
        <f aca="false">MIN(H303,Inputs!$B$35*H302,1E+099)</f>
        <v>1.16929685550987</v>
      </c>
      <c r="I304" s="47" t="n">
        <f aca="false">MIN(I303,Inputs!$B$35*I302,1E+099)</f>
        <v>1.16929685550987</v>
      </c>
      <c r="J304" s="47" t="n">
        <f aca="false">MIN(J303,Inputs!$B$35*J302,1E+099)</f>
        <v>1.16929685550987</v>
      </c>
      <c r="K304" s="47" t="n">
        <f aca="false">MIN(K303,Inputs!$B$35*K302,1E+099)</f>
        <v>0.803012577960527</v>
      </c>
      <c r="L304" s="47" t="n">
        <f aca="false">MIN(L303,Inputs!$B$35*L302,1E+099)</f>
        <v>0</v>
      </c>
      <c r="M304" s="47" t="n">
        <f aca="false">MIN(M303,Inputs!$B$35*M302,1E+099)</f>
        <v>0</v>
      </c>
      <c r="N304" s="47" t="n">
        <f aca="false">MIN(N303,Inputs!$B$35*N302,1E+099)</f>
        <v>0</v>
      </c>
      <c r="O304" s="47" t="n">
        <f aca="false">MIN(O303,Inputs!$B$35*O302,1E+099)</f>
        <v>0</v>
      </c>
      <c r="P304" s="47" t="n">
        <f aca="false">MIN(P303,Inputs!$B$35*P302,1E+099)</f>
        <v>0</v>
      </c>
      <c r="Q304" s="47" t="n">
        <f aca="false">MIN(Q303,Inputs!$B$35*Q302,1E+099)</f>
        <v>0</v>
      </c>
      <c r="R304" s="47" t="n">
        <f aca="false">MIN(R303,Inputs!$B$35*R302,1E+099)</f>
        <v>0</v>
      </c>
      <c r="S304" s="47" t="n">
        <f aca="false">MIN(S303,Inputs!$B$35*S302,1E+099)</f>
        <v>0</v>
      </c>
      <c r="T304" s="47" t="n">
        <f aca="false">MIN(T303,Inputs!$B$35*T302,1E+099)</f>
        <v>0</v>
      </c>
      <c r="U304" s="47" t="n">
        <f aca="false">MIN(U303,Inputs!$B$35*U302,1E+099)</f>
        <v>0</v>
      </c>
      <c r="V304" s="47" t="n">
        <f aca="false">MIN(V303,Inputs!$B$35*V302,1E+099)</f>
        <v>0</v>
      </c>
      <c r="W304" s="47" t="n">
        <f aca="false">MIN(W303,Inputs!$B$35*W302,1E+099)</f>
        <v>0</v>
      </c>
      <c r="X304" s="47" t="n">
        <f aca="false">MIN(X303,Inputs!$B$35*X302,1E+099)</f>
        <v>0</v>
      </c>
      <c r="Y304" s="47" t="n">
        <f aca="false">MIN(Y303,Inputs!$B$35*Y302,1E+099)</f>
        <v>0</v>
      </c>
      <c r="Z304" s="47" t="n">
        <f aca="false">MIN(Z303,Inputs!$B$35*Z302,1E+099)</f>
        <v>0</v>
      </c>
      <c r="AA304" s="47" t="n">
        <f aca="false">MIN(AA303,Inputs!$B$35*AA302,1E+099)</f>
        <v>0</v>
      </c>
      <c r="AB304" s="47" t="n">
        <f aca="false">MIN(AB303,Inputs!$B$35*AB302,1E+099)</f>
        <v>0</v>
      </c>
      <c r="AC304" s="47" t="n">
        <f aca="false">MIN(AC303,Inputs!$B$35*AC302,1E+099)</f>
        <v>0</v>
      </c>
      <c r="AD304" s="47" t="n">
        <f aca="false">MIN(AD303,Inputs!$B$35*AD302,1E+099)</f>
        <v>0</v>
      </c>
      <c r="AE304" s="47" t="n">
        <f aca="false">MIN(AE303,Inputs!$B$35*AE302,1E+099)</f>
        <v>0</v>
      </c>
      <c r="AF304" s="47" t="n">
        <f aca="false">MIN(AF303,Inputs!$B$35*AF302,1E+099)</f>
        <v>0</v>
      </c>
      <c r="AG304" s="47" t="n">
        <f aca="false">MIN(AG303,Inputs!$B$35*AG302,1E+099)</f>
        <v>0</v>
      </c>
      <c r="AH304" s="47" t="n">
        <f aca="false">MIN(AH303,Inputs!$B$35*AH302,1E+099)</f>
        <v>0</v>
      </c>
      <c r="AI304" s="47" t="n">
        <f aca="false">MIN(AI303,Inputs!$B$35*AI302,1E+099)</f>
        <v>0</v>
      </c>
      <c r="AJ304" s="47" t="n">
        <f aca="false">MIN(AJ303,Inputs!$B$35*AJ302,1E+099)</f>
        <v>0</v>
      </c>
      <c r="AK304" s="47" t="n">
        <f aca="false">MIN(AK303,Inputs!$B$35*AK302,1E+099)</f>
        <v>0</v>
      </c>
    </row>
    <row r="305" customFormat="false" ht="15" hidden="false" customHeight="false" outlineLevel="0" collapsed="false">
      <c r="A305" s="10" t="s">
        <v>582</v>
      </c>
      <c r="G305" s="47" t="n">
        <f aca="false">$F$255</f>
        <v>3.8249530808</v>
      </c>
      <c r="H305" s="47" t="n">
        <f aca="false">G305</f>
        <v>3.8249530808</v>
      </c>
      <c r="I305" s="47" t="n">
        <f aca="false">H305-H306</f>
        <v>3.8249530808</v>
      </c>
      <c r="J305" s="47" t="n">
        <f aca="false">I305-I306</f>
        <v>3.8249530808</v>
      </c>
      <c r="K305" s="47" t="n">
        <f aca="false">J305-J306</f>
        <v>3.8249530808</v>
      </c>
      <c r="L305" s="47" t="n">
        <f aca="false">K305-K306</f>
        <v>3.45866880325065</v>
      </c>
      <c r="M305" s="47" t="n">
        <f aca="false">L305-L306</f>
        <v>2.28937194774079</v>
      </c>
      <c r="N305" s="47" t="n">
        <f aca="false">M305-M306</f>
        <v>1.16684696645131</v>
      </c>
      <c r="O305" s="47" t="n">
        <f aca="false">N305-N306</f>
        <v>0.0443219851618388</v>
      </c>
      <c r="P305" s="47" t="n">
        <f aca="false">O305-O306</f>
        <v>0</v>
      </c>
      <c r="Q305" s="47" t="n">
        <f aca="false">P305-P306</f>
        <v>0</v>
      </c>
      <c r="R305" s="47" t="n">
        <f aca="false">Q305-Q306</f>
        <v>0</v>
      </c>
      <c r="S305" s="47" t="n">
        <f aca="false">R305-R306</f>
        <v>0</v>
      </c>
      <c r="T305" s="47" t="n">
        <f aca="false">S305-S306</f>
        <v>0</v>
      </c>
      <c r="U305" s="47" t="n">
        <f aca="false">T305-T306</f>
        <v>0</v>
      </c>
      <c r="V305" s="47" t="n">
        <f aca="false">U305-U306</f>
        <v>0</v>
      </c>
      <c r="W305" s="47" t="n">
        <f aca="false">V305-V306</f>
        <v>0</v>
      </c>
      <c r="X305" s="47" t="n">
        <f aca="false">W305-W306</f>
        <v>0</v>
      </c>
      <c r="Y305" s="47" t="n">
        <f aca="false">X305-X306</f>
        <v>0</v>
      </c>
      <c r="Z305" s="47" t="n">
        <f aca="false">Y305-Y306</f>
        <v>0</v>
      </c>
      <c r="AA305" s="47" t="n">
        <f aca="false">Z305-Z306</f>
        <v>0</v>
      </c>
      <c r="AB305" s="47" t="n">
        <f aca="false">AA305-AA306</f>
        <v>0</v>
      </c>
      <c r="AC305" s="47" t="n">
        <f aca="false">AB305-AB306</f>
        <v>0</v>
      </c>
      <c r="AD305" s="47" t="n">
        <f aca="false">AC305-AC306</f>
        <v>0</v>
      </c>
      <c r="AE305" s="47" t="n">
        <f aca="false">AD305-AD306</f>
        <v>0</v>
      </c>
      <c r="AF305" s="47" t="n">
        <f aca="false">AE305-AE306</f>
        <v>0</v>
      </c>
      <c r="AG305" s="47" t="n">
        <f aca="false">AF305-AF306</f>
        <v>0</v>
      </c>
      <c r="AH305" s="47" t="n">
        <f aca="false">AG305-AG306</f>
        <v>0</v>
      </c>
      <c r="AI305" s="47" t="n">
        <f aca="false">AH305-AH306</f>
        <v>0</v>
      </c>
      <c r="AJ305" s="47" t="n">
        <f aca="false">AI305-AI306</f>
        <v>0</v>
      </c>
      <c r="AK305" s="47" t="n">
        <f aca="false">AJ305-AJ306</f>
        <v>0</v>
      </c>
    </row>
    <row r="306" customFormat="false" ht="15" hidden="false" customHeight="false" outlineLevel="0" collapsed="false">
      <c r="A306" s="10" t="s">
        <v>576</v>
      </c>
      <c r="H306" s="47" t="n">
        <f aca="false">MIN(H305,Inputs!$B$35*H302-H304)</f>
        <v>0</v>
      </c>
      <c r="I306" s="47" t="n">
        <f aca="false">MIN(I305,Inputs!$B$35*I302-I304)</f>
        <v>0</v>
      </c>
      <c r="J306" s="47" t="n">
        <f aca="false">MIN(J305,Inputs!$B$35*J302-J304)</f>
        <v>0</v>
      </c>
      <c r="K306" s="47" t="n">
        <f aca="false">MIN(K305,Inputs!$B$35*K302-K304)</f>
        <v>0.366284277549341</v>
      </c>
      <c r="L306" s="47" t="n">
        <f aca="false">MIN(L305,Inputs!$B$35*L302-L304)</f>
        <v>1.16929685550987</v>
      </c>
      <c r="M306" s="47" t="n">
        <f aca="false">MIN(M305,Inputs!$B$35*M302-M304)</f>
        <v>1.12252498128947</v>
      </c>
      <c r="N306" s="47" t="n">
        <f aca="false">MIN(N305,Inputs!$B$35*N302-N304)</f>
        <v>1.12252498128947</v>
      </c>
      <c r="O306" s="47" t="n">
        <f aca="false">MIN(O305,Inputs!$B$35*O302-O304)</f>
        <v>0.0443219851618388</v>
      </c>
      <c r="P306" s="47" t="n">
        <f aca="false">MIN(P305,Inputs!$B$35*P302-P304)</f>
        <v>0</v>
      </c>
      <c r="Q306" s="47" t="n">
        <f aca="false">MIN(Q305,Inputs!$B$35*Q302-Q304)</f>
        <v>0</v>
      </c>
      <c r="R306" s="47" t="n">
        <f aca="false">MIN(R305,Inputs!$B$35*R302-R304)</f>
        <v>0</v>
      </c>
      <c r="S306" s="47" t="n">
        <f aca="false">MIN(S305,Inputs!$B$35*S302-S304)</f>
        <v>0</v>
      </c>
      <c r="T306" s="47" t="n">
        <f aca="false">MIN(T305,Inputs!$B$35*T302-T304)</f>
        <v>0</v>
      </c>
      <c r="U306" s="47" t="n">
        <f aca="false">MIN(U305,Inputs!$B$35*U302-U304)</f>
        <v>0</v>
      </c>
      <c r="V306" s="47" t="n">
        <f aca="false">MIN(V305,Inputs!$B$35*V302-V304)</f>
        <v>0</v>
      </c>
      <c r="W306" s="47" t="n">
        <f aca="false">MIN(W305,Inputs!$B$35*W302-W304)</f>
        <v>0</v>
      </c>
      <c r="X306" s="47" t="n">
        <f aca="false">MIN(X305,Inputs!$B$35*X302-X304)</f>
        <v>0</v>
      </c>
      <c r="Y306" s="47" t="n">
        <f aca="false">MIN(Y305,Inputs!$B$35*Y302-Y304)</f>
        <v>0</v>
      </c>
      <c r="Z306" s="47" t="n">
        <f aca="false">MIN(Z305,Inputs!$B$35*Z302-Z304)</f>
        <v>0</v>
      </c>
      <c r="AA306" s="47" t="n">
        <f aca="false">MIN(AA305,Inputs!$B$35*AA302-AA304)</f>
        <v>0</v>
      </c>
      <c r="AB306" s="47" t="n">
        <f aca="false">MIN(AB305,Inputs!$B$35*AB302-AB304)</f>
        <v>0</v>
      </c>
      <c r="AC306" s="47" t="n">
        <f aca="false">MIN(AC305,Inputs!$B$35*AC302-AC304)</f>
        <v>0</v>
      </c>
      <c r="AD306" s="47" t="n">
        <f aca="false">MIN(AD305,Inputs!$B$35*AD302-AD304)</f>
        <v>0</v>
      </c>
      <c r="AE306" s="47" t="n">
        <f aca="false">MIN(AE305,Inputs!$B$35*AE302-AE304)</f>
        <v>0</v>
      </c>
      <c r="AF306" s="47" t="n">
        <f aca="false">MIN(AF305,Inputs!$B$35*AF302-AF304)</f>
        <v>0</v>
      </c>
      <c r="AG306" s="47" t="n">
        <f aca="false">MIN(AG305,Inputs!$B$35*AG302-AG304)</f>
        <v>0</v>
      </c>
      <c r="AH306" s="47" t="n">
        <f aca="false">MIN(AH305,Inputs!$B$35*AH302-AH304)</f>
        <v>0</v>
      </c>
      <c r="AI306" s="47" t="n">
        <f aca="false">MIN(AI305,Inputs!$B$35*AI302-AI304)</f>
        <v>0</v>
      </c>
      <c r="AJ306" s="47" t="n">
        <f aca="false">MIN(AJ305,Inputs!$B$35*AJ302-AJ304)</f>
        <v>0</v>
      </c>
      <c r="AK306" s="47" t="n">
        <f aca="false">MIN(AK305,Inputs!$B$35*AK302-AK304)</f>
        <v>0</v>
      </c>
    </row>
    <row r="307" customFormat="false" ht="15" hidden="false" customHeight="false" outlineLevel="0" collapsed="false">
      <c r="A307" s="10" t="s">
        <v>583</v>
      </c>
      <c r="H307" s="47" t="n">
        <f aca="false">(H302-H304-H306)*Inputs!$B$33</f>
        <v>0.061388084914268</v>
      </c>
      <c r="I307" s="47" t="n">
        <f aca="false">(I302-I304-I306)*Inputs!$B$33</f>
        <v>0.061388084914268</v>
      </c>
      <c r="J307" s="47" t="n">
        <f aca="false">(J302-J304-J306)*Inputs!$B$33</f>
        <v>0.061388084914268</v>
      </c>
      <c r="K307" s="47" t="n">
        <f aca="false">(K302-K304-K306)*Inputs!$B$33</f>
        <v>0.061388084914268</v>
      </c>
      <c r="L307" s="47" t="n">
        <f aca="false">(L302-L304-L306)*Inputs!$B$33</f>
        <v>0.061388084914268</v>
      </c>
      <c r="M307" s="47" t="n">
        <f aca="false">(M302-M304-M306)*Inputs!$B$33</f>
        <v>0.0589325615176973</v>
      </c>
      <c r="N307" s="47" t="n">
        <f aca="false">(N302-N304-N306)*Inputs!$B$33</f>
        <v>0.0589325615176973</v>
      </c>
      <c r="O307" s="47" t="n">
        <f aca="false">(O302-O304-O306)*Inputs!$B$33</f>
        <v>0.285355190704501</v>
      </c>
      <c r="P307" s="47" t="n">
        <f aca="false">(P302-P304-P306)*Inputs!$B$33</f>
        <v>0.294662807588487</v>
      </c>
      <c r="Q307" s="47" t="n">
        <f aca="false">(Q302-Q304-Q306)*Inputs!$B$33</f>
        <v>0.294662807588487</v>
      </c>
      <c r="R307" s="47" t="n">
        <f aca="false">(R302-R304-R306)*Inputs!$B$33</f>
        <v>0.294662807588487</v>
      </c>
      <c r="S307" s="47" t="n">
        <f aca="false">(S302-S304-S306)*Inputs!$B$33</f>
        <v>0.294662807588487</v>
      </c>
      <c r="T307" s="47" t="n">
        <f aca="false">(T302-T304-T306)*Inputs!$B$33</f>
        <v>0.294662807588487</v>
      </c>
      <c r="U307" s="47" t="n">
        <f aca="false">(U302-U304-U306)*Inputs!$B$33</f>
        <v>0.294662807588487</v>
      </c>
      <c r="V307" s="47" t="n">
        <f aca="false">(V302-V304-V306)*Inputs!$B$33</f>
        <v>0.294662807588487</v>
      </c>
      <c r="W307" s="47" t="n">
        <f aca="false">(W302-W304-W306)*Inputs!$B$33</f>
        <v>0.294662807588487</v>
      </c>
      <c r="X307" s="47" t="n">
        <f aca="false">(X302-X304-X306)*Inputs!$B$33</f>
        <v>0.294662807588487</v>
      </c>
      <c r="Y307" s="47" t="n">
        <f aca="false">(Y302-Y304-Y306)*Inputs!$B$33</f>
        <v>0.294662807588487</v>
      </c>
      <c r="Z307" s="47" t="n">
        <f aca="false">(Z302-Z304-Z306)*Inputs!$B$33</f>
        <v>0.294662807588487</v>
      </c>
      <c r="AA307" s="47" t="n">
        <f aca="false">(AA302-AA304-AA306)*Inputs!$B$33</f>
        <v>0.294662807588487</v>
      </c>
      <c r="AB307" s="47" t="n">
        <f aca="false">(AB302-AB304-AB306)*Inputs!$B$33</f>
        <v>0.294662807588487</v>
      </c>
      <c r="AC307" s="47" t="n">
        <f aca="false">(AC302-AC304-AC306)*Inputs!$B$33</f>
        <v>0.294662807588487</v>
      </c>
      <c r="AD307" s="47" t="n">
        <f aca="false">(AD302-AD304-AD306)*Inputs!$B$33</f>
        <v>0.294662807588487</v>
      </c>
      <c r="AE307" s="47" t="n">
        <f aca="false">(AE302-AE304-AE306)*Inputs!$B$33</f>
        <v>0.294662807588487</v>
      </c>
      <c r="AF307" s="47" t="n">
        <f aca="false">(AF302-AF304-AF306)*Inputs!$B$33</f>
        <v>0.294662807588487</v>
      </c>
      <c r="AG307" s="47" t="n">
        <f aca="false">(AG302-AG304-AG306)*Inputs!$B$33</f>
        <v>0.294662807588487</v>
      </c>
      <c r="AH307" s="47" t="n">
        <f aca="false">(AH302-AH304-AH306)*Inputs!$B$33</f>
        <v>0.294662807588487</v>
      </c>
      <c r="AI307" s="47" t="n">
        <f aca="false">(AI302-AI304-AI306)*Inputs!$B$33</f>
        <v>0.294662807588487</v>
      </c>
      <c r="AJ307" s="47" t="n">
        <f aca="false">(AJ302-AJ304-AJ306)*Inputs!$B$33</f>
        <v>0.294662807588487</v>
      </c>
      <c r="AK307" s="47" t="n">
        <f aca="false">(AK302-AK304-AK306)*Inputs!$B$33</f>
        <v>0.294662807588487</v>
      </c>
    </row>
    <row r="308" customFormat="false" ht="15" hidden="false" customHeight="false" outlineLevel="0" collapsed="false">
      <c r="A308" s="10" t="s">
        <v>584</v>
      </c>
      <c r="G308" s="47" t="n">
        <f aca="false">$F$258</f>
        <v>0</v>
      </c>
      <c r="H308" s="47" t="n">
        <f aca="false">G308</f>
        <v>0</v>
      </c>
      <c r="I308" s="47" t="n">
        <f aca="false">H308-H309</f>
        <v>0</v>
      </c>
      <c r="J308" s="47" t="n">
        <f aca="false">I308-I309</f>
        <v>0</v>
      </c>
      <c r="K308" s="47" t="n">
        <f aca="false">J308-J309</f>
        <v>0</v>
      </c>
      <c r="L308" s="47" t="n">
        <f aca="false">K308-K309</f>
        <v>0</v>
      </c>
      <c r="M308" s="47" t="n">
        <f aca="false">L308-L309</f>
        <v>0</v>
      </c>
      <c r="N308" s="47" t="n">
        <f aca="false">M308-M309</f>
        <v>0</v>
      </c>
      <c r="O308" s="47" t="n">
        <f aca="false">N308-N309</f>
        <v>0</v>
      </c>
      <c r="P308" s="47" t="n">
        <f aca="false">O308-O309</f>
        <v>0</v>
      </c>
      <c r="Q308" s="47" t="n">
        <f aca="false">P308-P309</f>
        <v>0</v>
      </c>
      <c r="R308" s="47" t="n">
        <f aca="false">Q308-Q309</f>
        <v>0</v>
      </c>
      <c r="S308" s="47" t="n">
        <f aca="false">R308-R309</f>
        <v>0</v>
      </c>
      <c r="T308" s="47" t="n">
        <f aca="false">S308-S309</f>
        <v>0</v>
      </c>
      <c r="U308" s="47" t="n">
        <f aca="false">T308-T309</f>
        <v>0</v>
      </c>
      <c r="V308" s="47" t="n">
        <f aca="false">U308-U309</f>
        <v>0</v>
      </c>
      <c r="W308" s="47" t="n">
        <f aca="false">V308-V309</f>
        <v>0</v>
      </c>
      <c r="X308" s="47" t="n">
        <f aca="false">W308-W309</f>
        <v>0</v>
      </c>
      <c r="Y308" s="47" t="n">
        <f aca="false">X308-X309</f>
        <v>0</v>
      </c>
      <c r="Z308" s="47" t="n">
        <f aca="false">Y308-Y309</f>
        <v>0</v>
      </c>
      <c r="AA308" s="47" t="n">
        <f aca="false">Z308-Z309</f>
        <v>0</v>
      </c>
      <c r="AB308" s="47" t="n">
        <f aca="false">AA308-AA309</f>
        <v>0</v>
      </c>
      <c r="AC308" s="47" t="n">
        <f aca="false">AB308-AB309</f>
        <v>0</v>
      </c>
      <c r="AD308" s="47" t="n">
        <f aca="false">AC308-AC309</f>
        <v>0</v>
      </c>
      <c r="AE308" s="47" t="n">
        <f aca="false">AD308-AD309</f>
        <v>0</v>
      </c>
      <c r="AF308" s="47" t="n">
        <f aca="false">AE308-AE309</f>
        <v>0</v>
      </c>
      <c r="AG308" s="47" t="n">
        <f aca="false">AF308-AF309</f>
        <v>0</v>
      </c>
      <c r="AH308" s="47" t="n">
        <f aca="false">AG308-AG309</f>
        <v>0</v>
      </c>
      <c r="AI308" s="47" t="n">
        <f aca="false">AH308-AH309</f>
        <v>0</v>
      </c>
      <c r="AJ308" s="47" t="n">
        <f aca="false">AI308-AI309</f>
        <v>0</v>
      </c>
      <c r="AK308" s="47" t="n">
        <f aca="false">AJ308-AJ309</f>
        <v>0</v>
      </c>
    </row>
    <row r="309" customFormat="false" ht="15" hidden="false" customHeight="false" outlineLevel="0" collapsed="false">
      <c r="A309" s="10" t="s">
        <v>585</v>
      </c>
      <c r="H309" s="47" t="n">
        <f aca="false">IF(1&lt;=Inputs!$B$43,MIN(H308,H307,MAX(0,1E+099-H304)*Inputs!$B$33),0)</f>
        <v>0</v>
      </c>
      <c r="I309" s="47" t="n">
        <f aca="false">IF(2&lt;=Inputs!$B$43,MIN(I308,I307,MAX(0,1E+099-I304)*Inputs!$B$33),0)</f>
        <v>0</v>
      </c>
      <c r="J309" s="47" t="n">
        <f aca="false">IF(3&lt;=Inputs!$B$43,MIN(J308,J307,MAX(0,1E+099-J304)*Inputs!$B$33),0)</f>
        <v>0</v>
      </c>
      <c r="K309" s="47" t="n">
        <f aca="false">IF(4&lt;=Inputs!$B$43,MIN(K308,K307,MAX(0,1E+099-K304)*Inputs!$B$33),0)</f>
        <v>0</v>
      </c>
      <c r="L309" s="47" t="n">
        <f aca="false">IF(5&lt;=Inputs!$B$43,MIN(L308,L307,MAX(0,1E+099-L304)*Inputs!$B$33),0)</f>
        <v>0</v>
      </c>
      <c r="M309" s="47" t="n">
        <f aca="false">IF(6&lt;=Inputs!$B$43,MIN(M308,M307,MAX(0,1E+099-M304)*Inputs!$B$33),0)</f>
        <v>0</v>
      </c>
      <c r="N309" s="47" t="n">
        <f aca="false">IF(7&lt;=Inputs!$B$43,MIN(N308,N307,MAX(0,1E+099-N304)*Inputs!$B$33),0)</f>
        <v>0</v>
      </c>
      <c r="O309" s="47" t="n">
        <f aca="false">IF(8&lt;=Inputs!$B$43,MIN(O308,O307,MAX(0,1E+099-O304)*Inputs!$B$33),0)</f>
        <v>0</v>
      </c>
      <c r="P309" s="47" t="n">
        <f aca="false">IF(9&lt;=Inputs!$B$43,MIN(P308,P307,MAX(0,1E+099-P304)*Inputs!$B$33),0)</f>
        <v>0</v>
      </c>
      <c r="Q309" s="47" t="n">
        <f aca="false">IF(10&lt;=Inputs!$B$43,MIN(Q308,Q307,MAX(0,1E+099-Q304)*Inputs!$B$33),0)</f>
        <v>0</v>
      </c>
      <c r="R309" s="47" t="n">
        <f aca="false">IF(11&lt;=Inputs!$B$43,MIN(R308,R307,MAX(0,1E+099-R304)*Inputs!$B$33),0)</f>
        <v>0</v>
      </c>
      <c r="S309" s="47" t="n">
        <f aca="false">IF(12&lt;=Inputs!$B$43,MIN(S308,S307,MAX(0,1E+099-S304)*Inputs!$B$33),0)</f>
        <v>0</v>
      </c>
      <c r="T309" s="47" t="n">
        <f aca="false">IF(13&lt;=Inputs!$B$43,MIN(T308,T307,MAX(0,1E+099-T304)*Inputs!$B$33),0)</f>
        <v>0</v>
      </c>
      <c r="U309" s="47" t="n">
        <f aca="false">IF(14&lt;=Inputs!$B$43,MIN(U308,U307,MAX(0,1E+099-U304)*Inputs!$B$33),0)</f>
        <v>0</v>
      </c>
      <c r="V309" s="47" t="n">
        <f aca="false">IF(15&lt;=Inputs!$B$43,MIN(V308,V307,MAX(0,1E+099-V304)*Inputs!$B$33),0)</f>
        <v>0</v>
      </c>
      <c r="W309" s="47" t="n">
        <f aca="false">IF(16&lt;=Inputs!$B$43,MIN(W308,W307,MAX(0,1E+099-W304)*Inputs!$B$33),0)</f>
        <v>0</v>
      </c>
      <c r="X309" s="47" t="n">
        <f aca="false">IF(17&lt;=Inputs!$B$43,MIN(X308,X307,MAX(0,1E+099-X304)*Inputs!$B$33),0)</f>
        <v>0</v>
      </c>
      <c r="Y309" s="47" t="n">
        <f aca="false">IF(18&lt;=Inputs!$B$43,MIN(Y308,Y307,MAX(0,1E+099-Y304)*Inputs!$B$33),0)</f>
        <v>0</v>
      </c>
      <c r="Z309" s="47" t="n">
        <f aca="false">IF(19&lt;=Inputs!$B$43,MIN(Z308,Z307,MAX(0,1E+099-Z304)*Inputs!$B$33),0)</f>
        <v>0</v>
      </c>
      <c r="AA309" s="47" t="n">
        <f aca="false">IF(20&lt;=Inputs!$B$43,MIN(AA308,AA307,MAX(0,1E+099-AA304)*Inputs!$B$33),0)</f>
        <v>0</v>
      </c>
      <c r="AB309" s="47" t="n">
        <f aca="false">IF(21&lt;=Inputs!$B$43,MIN(AB308,AB307,MAX(0,1E+099-AB304)*Inputs!$B$33),0)</f>
        <v>0</v>
      </c>
      <c r="AC309" s="47" t="n">
        <f aca="false">IF(22&lt;=Inputs!$B$43,MIN(AC308,AC307,MAX(0,1E+099-AC304)*Inputs!$B$33),0)</f>
        <v>0</v>
      </c>
      <c r="AD309" s="47" t="n">
        <f aca="false">IF(23&lt;=Inputs!$B$43,MIN(AD308,AD307,MAX(0,1E+099-AD304)*Inputs!$B$33),0)</f>
        <v>0</v>
      </c>
      <c r="AE309" s="47" t="n">
        <f aca="false">IF(24&lt;=Inputs!$B$43,MIN(AE308,AE307,MAX(0,1E+099-AE304)*Inputs!$B$33),0)</f>
        <v>0</v>
      </c>
      <c r="AF309" s="47" t="n">
        <f aca="false">IF(25&lt;=Inputs!$B$43,MIN(AF308,AF307,MAX(0,1E+099-AF304)*Inputs!$B$33),0)</f>
        <v>0</v>
      </c>
      <c r="AG309" s="47" t="n">
        <f aca="false">IF(26&lt;=Inputs!$B$43,MIN(AG308,AG307,MAX(0,1E+099-AG304)*Inputs!$B$33),0)</f>
        <v>0</v>
      </c>
      <c r="AH309" s="47" t="n">
        <f aca="false">IF(27&lt;=Inputs!$B$43,MIN(AH308,AH307,MAX(0,1E+099-AH304)*Inputs!$B$33),0)</f>
        <v>0</v>
      </c>
      <c r="AI309" s="47" t="n">
        <f aca="false">IF(28&lt;=Inputs!$B$43,MIN(AI308,AI307,MAX(0,1E+099-AI304)*Inputs!$B$33),0)</f>
        <v>0</v>
      </c>
      <c r="AJ309" s="47" t="n">
        <f aca="false">IF(29&lt;=Inputs!$B$43,MIN(AJ308,AJ307,MAX(0,1E+099-AJ304)*Inputs!$B$33),0)</f>
        <v>0</v>
      </c>
      <c r="AK309" s="47" t="n">
        <f aca="false">IF(30&lt;=Inputs!$B$43,MIN(AK308,AK307,MAX(0,1E+099-AK304)*Inputs!$B$33),0)</f>
        <v>0</v>
      </c>
    </row>
    <row r="310" customFormat="false" ht="15" hidden="false" customHeight="false" outlineLevel="0" collapsed="false">
      <c r="A310" s="10" t="s">
        <v>586</v>
      </c>
      <c r="H310" s="47" t="n">
        <f aca="false">($B$295*Inputs!$B$34+($B$295-$B$295*Inputs!$B$34)*Inputs!$B$33)-(H301+H307-H309)</f>
        <v>0.291739565449712</v>
      </c>
      <c r="I310" s="47" t="n">
        <f aca="false">($B$295*Inputs!$B$34+($B$295-$B$295*Inputs!$B$34)*Inputs!$B$33)-(I301+I307-I309)</f>
        <v>0.291739565449712</v>
      </c>
      <c r="J310" s="47" t="n">
        <f aca="false">($B$295*Inputs!$B$34+($B$295-$B$295*Inputs!$B$34)*Inputs!$B$33)-(J301+J307-J309)</f>
        <v>0.291739565449712</v>
      </c>
      <c r="K310" s="47" t="n">
        <f aca="false">($B$295*Inputs!$B$34+($B$295-$B$295*Inputs!$B$34)*Inputs!$B$33)-(K301+K307-K309)</f>
        <v>0.291739565449712</v>
      </c>
      <c r="L310" s="47" t="n">
        <f aca="false">($B$295*Inputs!$B$34+($B$295-$B$295*Inputs!$B$34)*Inputs!$B$33)-(L301+L307-L309)</f>
        <v>0.291739565449712</v>
      </c>
      <c r="M310" s="47" t="n">
        <f aca="false">($B$295*Inputs!$B$34+($B$295-$B$295*Inputs!$B$34)*Inputs!$B$33)-(M301+M307-M309)</f>
        <v>0.235730246070789</v>
      </c>
      <c r="N310" s="47" t="n">
        <f aca="false">($B$295*Inputs!$B$34+($B$295-$B$295*Inputs!$B$34)*Inputs!$B$33)-(N301+N307-N309)</f>
        <v>0.235730246070789</v>
      </c>
      <c r="O310" s="47" t="n">
        <f aca="false">($B$295*Inputs!$B$34+($B$295-$B$295*Inputs!$B$34)*Inputs!$B$33)-(O301+O307-O309)</f>
        <v>0.00930761688398618</v>
      </c>
      <c r="P310" s="47" t="n">
        <f aca="false">($B$295*Inputs!$B$34+($B$295-$B$295*Inputs!$B$34)*Inputs!$B$33)-(P301+P307-P309)</f>
        <v>0</v>
      </c>
      <c r="Q310" s="47" t="n">
        <f aca="false">($B$295*Inputs!$B$34+($B$295-$B$295*Inputs!$B$34)*Inputs!$B$33)-(Q301+Q307-Q309)</f>
        <v>0</v>
      </c>
      <c r="R310" s="47" t="n">
        <f aca="false">($B$295*Inputs!$B$34+($B$295-$B$295*Inputs!$B$34)*Inputs!$B$33)-(R301+R307-R309)</f>
        <v>0</v>
      </c>
      <c r="S310" s="47" t="n">
        <f aca="false">($B$295*Inputs!$B$34+($B$295-$B$295*Inputs!$B$34)*Inputs!$B$33)-(S301+S307-S309)</f>
        <v>0</v>
      </c>
      <c r="T310" s="47" t="n">
        <f aca="false">($B$295*Inputs!$B$34+($B$295-$B$295*Inputs!$B$34)*Inputs!$B$33)-(T301+T307-T309)</f>
        <v>0</v>
      </c>
      <c r="U310" s="47" t="n">
        <f aca="false">($B$295*Inputs!$B$34+($B$295-$B$295*Inputs!$B$34)*Inputs!$B$33)-(U301+U307-U309)</f>
        <v>0</v>
      </c>
      <c r="V310" s="47" t="n">
        <f aca="false">($B$295*Inputs!$B$34+($B$295-$B$295*Inputs!$B$34)*Inputs!$B$33)-(V301+V307-V309)</f>
        <v>0</v>
      </c>
      <c r="W310" s="47" t="n">
        <f aca="false">($B$295*Inputs!$B$34+($B$295-$B$295*Inputs!$B$34)*Inputs!$B$33)-(W301+W307-W309)</f>
        <v>0</v>
      </c>
      <c r="X310" s="47" t="n">
        <f aca="false">($B$295*Inputs!$B$34+($B$295-$B$295*Inputs!$B$34)*Inputs!$B$33)-(X301+X307-X309)</f>
        <v>0</v>
      </c>
      <c r="Y310" s="47" t="n">
        <f aca="false">($B$295*Inputs!$B$34+($B$295-$B$295*Inputs!$B$34)*Inputs!$B$33)-(Y301+Y307-Y309)</f>
        <v>0</v>
      </c>
      <c r="Z310" s="47" t="n">
        <f aca="false">($B$295*Inputs!$B$34+($B$295-$B$295*Inputs!$B$34)*Inputs!$B$33)-(Z301+Z307-Z309)</f>
        <v>0</v>
      </c>
      <c r="AA310" s="47" t="n">
        <f aca="false">($B$295*Inputs!$B$34+($B$295-$B$295*Inputs!$B$34)*Inputs!$B$33)-(AA301+AA307-AA309)</f>
        <v>0</v>
      </c>
      <c r="AB310" s="47" t="n">
        <f aca="false">($B$295*Inputs!$B$34+($B$295-$B$295*Inputs!$B$34)*Inputs!$B$33)-(AB301+AB307-AB309)</f>
        <v>0</v>
      </c>
      <c r="AC310" s="47" t="n">
        <f aca="false">($B$295*Inputs!$B$34+($B$295-$B$295*Inputs!$B$34)*Inputs!$B$33)-(AC301+AC307-AC309)</f>
        <v>0</v>
      </c>
      <c r="AD310" s="47" t="n">
        <f aca="false">($B$295*Inputs!$B$34+($B$295-$B$295*Inputs!$B$34)*Inputs!$B$33)-(AD301+AD307-AD309)</f>
        <v>0</v>
      </c>
      <c r="AE310" s="47" t="n">
        <f aca="false">($B$295*Inputs!$B$34+($B$295-$B$295*Inputs!$B$34)*Inputs!$B$33)-(AE301+AE307-AE309)</f>
        <v>0</v>
      </c>
      <c r="AF310" s="47" t="n">
        <f aca="false">($B$295*Inputs!$B$34+($B$295-$B$295*Inputs!$B$34)*Inputs!$B$33)-(AF301+AF307-AF309)</f>
        <v>0</v>
      </c>
      <c r="AG310" s="47" t="n">
        <f aca="false">($B$295*Inputs!$B$34+($B$295-$B$295*Inputs!$B$34)*Inputs!$B$33)-(AG301+AG307-AG309)</f>
        <v>0</v>
      </c>
      <c r="AH310" s="47" t="n">
        <f aca="false">($B$295*Inputs!$B$34+($B$295-$B$295*Inputs!$B$34)*Inputs!$B$33)-(AH301+AH307-AH309)</f>
        <v>0</v>
      </c>
      <c r="AI310" s="47" t="n">
        <f aca="false">($B$295*Inputs!$B$34+($B$295-$B$295*Inputs!$B$34)*Inputs!$B$33)-(AI301+AI307-AI309)</f>
        <v>0</v>
      </c>
      <c r="AJ310" s="47" t="n">
        <f aca="false">($B$295*Inputs!$B$34+($B$295-$B$295*Inputs!$B$34)*Inputs!$B$33)-(AJ301+AJ307-AJ309)</f>
        <v>0</v>
      </c>
      <c r="AK310" s="47" t="n">
        <f aca="false">($B$295*Inputs!$B$34+($B$295-$B$295*Inputs!$B$34)*Inputs!$B$33)-(AK301+AK307-AK309)</f>
        <v>0</v>
      </c>
    </row>
    <row r="311" customFormat="false" ht="15" hidden="false" customHeight="false" outlineLevel="0" collapsed="false">
      <c r="A311" s="10" t="s">
        <v>587</v>
      </c>
      <c r="B311" s="47" t="n">
        <f aca="false">SUMPRODUCT($H$310:$AK$310,$H$296:$AK$296)</f>
        <v>1.32185068303135</v>
      </c>
    </row>
    <row r="312" customFormat="false" ht="15" hidden="false" customHeight="false" outlineLevel="0" collapsed="false">
      <c r="A312" s="10" t="s">
        <v>588</v>
      </c>
      <c r="B312" s="47" t="n">
        <f aca="false">Inputs!$B$42*$B$311*$F$527</f>
        <v>0.870743988107476</v>
      </c>
    </row>
    <row r="313" customFormat="false" ht="15" hidden="false" customHeight="false" outlineLevel="0" collapsed="false">
      <c r="A313" s="10" t="s">
        <v>589</v>
      </c>
      <c r="B313" s="47" t="n">
        <f aca="false">$B$279</f>
        <v>32.3747788944724</v>
      </c>
    </row>
    <row r="314" customFormat="false" ht="15" hidden="false" customHeight="false" outlineLevel="0" collapsed="false">
      <c r="A314" s="10" t="s">
        <v>590</v>
      </c>
      <c r="B314" s="47" t="n">
        <f aca="false">Inputs!$B$18*IF(ISNUMBER($B$110),$B$110,Inputs!$B$12)</f>
        <v>2.861306</v>
      </c>
    </row>
    <row r="315" customFormat="false" ht="15" hidden="false" customHeight="false" outlineLevel="0" collapsed="false">
      <c r="A315" s="10" t="s">
        <v>591</v>
      </c>
      <c r="B315" s="47" t="n">
        <f aca="false">SUMPRODUCT($C$274:$F$274,$C$527:$F$527)</f>
        <v>0</v>
      </c>
    </row>
    <row r="316" customFormat="false" ht="15" hidden="false" customHeight="false" outlineLevel="0" collapsed="false">
      <c r="A316" s="13" t="s">
        <v>592</v>
      </c>
      <c r="B316" s="18" t="n">
        <f aca="false">$B$294+$B$312+$B$313+$B$314-$B$315</f>
        <v>40.9217002507279</v>
      </c>
    </row>
    <row r="317" customFormat="false" ht="15" hidden="false" customHeight="false" outlineLevel="0" collapsed="false">
      <c r="A317" s="10" t="s">
        <v>593</v>
      </c>
      <c r="B317" s="25" t="n">
        <f aca="false">Historicals!$B$89+Inputs!$B$17</f>
        <v>3.967329173</v>
      </c>
    </row>
    <row r="318" customFormat="false" ht="15" hidden="false" customHeight="false" outlineLevel="0" collapsed="false">
      <c r="A318" s="10" t="s">
        <v>594</v>
      </c>
      <c r="B318" s="32" t="n">
        <f aca="false">IFERROR(($B$316-$B$273*(1-Inputs!$B$70))/$B$317,0)</f>
        <v>10.3146722810963</v>
      </c>
    </row>
    <row r="319" customFormat="false" ht="15" hidden="false" customHeight="false" outlineLevel="0" collapsed="false">
      <c r="A319" s="10" t="s">
        <v>595</v>
      </c>
      <c r="B319" s="25" t="n">
        <f aca="false">IF($B$318&gt;0,$B$273/($B$318*(1-Inputs!$B$71)),0)</f>
        <v>0</v>
      </c>
    </row>
    <row r="320" customFormat="false" ht="15" hidden="false" customHeight="false" outlineLevel="0" collapsed="false">
      <c r="A320" s="10" t="s">
        <v>596</v>
      </c>
      <c r="B320" s="32" t="n">
        <f aca="false">IFERROR($B$316/($B$317+$B$319),0)</f>
        <v>10.3146722810963</v>
      </c>
    </row>
    <row r="321" customFormat="false" ht="15" hidden="false" customHeight="false" outlineLevel="0" collapsed="false">
      <c r="A321" s="10" t="s">
        <v>597</v>
      </c>
      <c r="B321" s="47" t="n">
        <f aca="false">SUMPRODUCT($C$273:$F$273,$C$527:$F$527)</f>
        <v>0</v>
      </c>
    </row>
    <row r="322" customFormat="false" ht="15" hidden="false" customHeight="false" outlineLevel="0" collapsed="false">
      <c r="A322" s="10" t="s">
        <v>598</v>
      </c>
      <c r="B322" s="25" t="n">
        <f aca="false">IF($B$320&gt;0,$B$319+$B$321/($B$320*(1-Inputs!$B$71)),0)</f>
        <v>0</v>
      </c>
    </row>
    <row r="323" customFormat="false" ht="15" hidden="false" customHeight="false" outlineLevel="0" collapsed="false">
      <c r="A323" s="13" t="s">
        <v>599</v>
      </c>
      <c r="B323" s="15" t="n">
        <f aca="false">IFERROR(($B$316+$B$321)/($B$317+$B$322),0)</f>
        <v>10.3146722810963</v>
      </c>
    </row>
    <row r="324" customFormat="false" ht="15" hidden="false" customHeight="false" outlineLevel="0" collapsed="false">
      <c r="A324" s="10" t="s">
        <v>600</v>
      </c>
      <c r="B324" s="49" t="str">
        <f aca="false">IF($F$281&gt;Inputs!$B$73,"Not meaningful: funding need above limit",IF(OR($B$285&lt;=0,$B$290&lt;=0),"Not meaningful: 2030 profit or cash flow negative",IF(OR($B$289&lt;=0,$B$293&lt;=0),"Not meaningful: a method gives zero or negative value",IF($B$316&lt;=0,"Not meaningful: value at or below zero","OK"))))</f>
        <v>Not meaningful: 2030 profit or cash flow negative</v>
      </c>
    </row>
    <row r="325" customFormat="false" ht="15" hidden="false" customHeight="false" outlineLevel="0" collapsed="false">
      <c r="A325" s="13" t="s">
        <v>601</v>
      </c>
      <c r="B325" s="15" t="str">
        <f aca="false">IF($B$324="OK",$B$323,"unresolved")</f>
        <v>unresolved</v>
      </c>
    </row>
    <row r="326" customFormat="false" ht="15" hidden="false" customHeight="false" outlineLevel="0" collapsed="false">
      <c r="A326" s="10" t="s">
        <v>602</v>
      </c>
      <c r="B326" s="47" t="str">
        <f aca="false">IF(ISNUMBER($B$325),$B$325*$B$317,"unresolved")</f>
        <v>unresolved</v>
      </c>
    </row>
    <row r="327" customFormat="false" ht="15" hidden="false" customHeight="false" outlineLevel="0" collapsed="false">
      <c r="A327" s="10" t="s">
        <v>603</v>
      </c>
      <c r="B327" s="47" t="str">
        <f aca="false">IFERROR($B$316-$B$273*(1-Inputs!$B$70)-$B$326,"n/a")</f>
        <v>n/a</v>
      </c>
    </row>
    <row r="329" customFormat="false" ht="15" hidden="false" customHeight="false" outlineLevel="0" collapsed="false">
      <c r="A329" s="8" t="s">
        <v>626</v>
      </c>
      <c r="B329" s="9" t="s">
        <v>495</v>
      </c>
      <c r="C329" s="9" t="s">
        <v>496</v>
      </c>
      <c r="D329" s="9" t="s">
        <v>497</v>
      </c>
      <c r="E329" s="9" t="s">
        <v>498</v>
      </c>
      <c r="F329" s="9" t="s">
        <v>499</v>
      </c>
    </row>
    <row r="330" customFormat="false" ht="15" hidden="false" customHeight="false" outlineLevel="0" collapsed="false">
      <c r="A330" s="10" t="s">
        <v>605</v>
      </c>
      <c r="B330" s="47" t="n">
        <f aca="false">Historicals!$C$73+Inputs!$B$120</f>
        <v>77.31</v>
      </c>
      <c r="C330" s="47" t="n">
        <f aca="false">B330*(1+Inputs!$B$124)</f>
        <v>75.7638</v>
      </c>
      <c r="D330" s="47" t="n">
        <f aca="false">C330*(1+Inputs!$B$125)</f>
        <v>75.7638</v>
      </c>
      <c r="E330" s="47" t="n">
        <f aca="false">D330*(1+Inputs!$B$126)</f>
        <v>76.521438</v>
      </c>
      <c r="F330" s="47" t="n">
        <f aca="false">E330*(1+Inputs!$B$127)</f>
        <v>78.05186676</v>
      </c>
    </row>
    <row r="331" customFormat="false" ht="15" hidden="false" customHeight="false" outlineLevel="0" collapsed="false">
      <c r="A331" s="10" t="s">
        <v>606</v>
      </c>
      <c r="B331" s="47" t="n">
        <f aca="false">Historicals!$C$74+Inputs!$B$121</f>
        <v>11.328</v>
      </c>
      <c r="C331" s="47" t="n">
        <f aca="false">B331*(1+Inputs!$B$128)</f>
        <v>12.4608</v>
      </c>
      <c r="D331" s="47" t="n">
        <f aca="false">C331*(1+Inputs!$B$129)</f>
        <v>13.70688</v>
      </c>
      <c r="E331" s="47" t="n">
        <f aca="false">D331*(1+Inputs!$B$130)</f>
        <v>15.077568</v>
      </c>
      <c r="F331" s="47" t="n">
        <f aca="false">E331*(1+Inputs!$B$131)</f>
        <v>16.5853248</v>
      </c>
    </row>
    <row r="332" customFormat="false" ht="15" hidden="false" customHeight="false" outlineLevel="0" collapsed="false">
      <c r="A332" s="10" t="s">
        <v>607</v>
      </c>
      <c r="B332" s="47" t="n">
        <f aca="false">Historicals!$C$75+Inputs!$B$122</f>
        <v>17.631</v>
      </c>
      <c r="C332" s="47" t="n">
        <f aca="false">B332*(1+Inputs!$B$132)</f>
        <v>19.74672</v>
      </c>
      <c r="D332" s="47" t="n">
        <f aca="false">C332*(1+Inputs!$B$133)</f>
        <v>22.1163264</v>
      </c>
      <c r="E332" s="47" t="n">
        <f aca="false">D332*(1+Inputs!$B$134)</f>
        <v>24.770285568</v>
      </c>
      <c r="F332" s="47" t="n">
        <f aca="false">E332*(1+Inputs!$B$135)</f>
        <v>27.74271983616</v>
      </c>
    </row>
    <row r="333" customFormat="false" ht="15" hidden="false" customHeight="false" outlineLevel="0" collapsed="false">
      <c r="A333" s="10" t="s">
        <v>608</v>
      </c>
      <c r="B333" s="26" t="n">
        <v>0</v>
      </c>
      <c r="C333" s="47" t="n">
        <f aca="false">Inputs!$B$151*Inputs!$B$136</f>
        <v>0</v>
      </c>
      <c r="D333" s="47" t="n">
        <f aca="false">Inputs!$B$151*Inputs!$B$137</f>
        <v>0.5</v>
      </c>
      <c r="E333" s="47" t="n">
        <f aca="false">Inputs!$B$151*Inputs!$B$138</f>
        <v>1</v>
      </c>
      <c r="F333" s="47" t="n">
        <f aca="false">Inputs!$B$151*Inputs!$B$139</f>
        <v>2</v>
      </c>
    </row>
    <row r="334" customFormat="false" ht="15" hidden="false" customHeight="false" outlineLevel="0" collapsed="false">
      <c r="A334" s="13" t="s">
        <v>108</v>
      </c>
      <c r="B334" s="18" t="n">
        <f aca="false">B330+B331+B332+B333</f>
        <v>106.269</v>
      </c>
      <c r="C334" s="18" t="n">
        <f aca="false">C330+C331+C332+C333</f>
        <v>107.97132</v>
      </c>
      <c r="D334" s="18" t="n">
        <f aca="false">D330+D331+D332+D333</f>
        <v>112.0870064</v>
      </c>
      <c r="E334" s="18" t="n">
        <f aca="false">E330+E331+E332+E333</f>
        <v>117.369291568</v>
      </c>
      <c r="F334" s="18" t="n">
        <f aca="false">F330+F331+F332+F333</f>
        <v>124.37991139616</v>
      </c>
    </row>
    <row r="335" customFormat="false" ht="15" hidden="false" customHeight="false" outlineLevel="0" collapsed="false">
      <c r="A335" s="10" t="s">
        <v>501</v>
      </c>
      <c r="C335" s="19" t="n">
        <f aca="false">IFERROR(C334/B334-1,0)</f>
        <v>0.0160189707252352</v>
      </c>
      <c r="D335" s="19" t="n">
        <f aca="false">IFERROR(D334/C334-1,0)</f>
        <v>0.0381183299416918</v>
      </c>
      <c r="E335" s="19" t="n">
        <f aca="false">IFERROR(E334/D334-1,0)</f>
        <v>0.0471266504268064</v>
      </c>
      <c r="F335" s="19" t="n">
        <f aca="false">IFERROR(F334/E334-1,0)</f>
        <v>0.059731295422349</v>
      </c>
    </row>
    <row r="336" customFormat="false" ht="15" hidden="false" customHeight="false" outlineLevel="0" collapsed="false">
      <c r="A336" s="10" t="s">
        <v>609</v>
      </c>
      <c r="C336" s="47" t="n">
        <f aca="false">C330*(Inputs!$B$140+(Inputs!$B$141-Inputs!$B$140)*0/3)</f>
        <v>9.849294</v>
      </c>
      <c r="D336" s="47" t="n">
        <f aca="false">D330*(Inputs!$B$140+(Inputs!$B$141-Inputs!$B$140)*1/3)</f>
        <v>10.10184</v>
      </c>
      <c r="E336" s="47" t="n">
        <f aca="false">E330*(Inputs!$B$140+(Inputs!$B$141-Inputs!$B$140)*2/3)</f>
        <v>10.45792986</v>
      </c>
      <c r="F336" s="47" t="n">
        <f aca="false">F330*(Inputs!$B$140+(Inputs!$B$141-Inputs!$B$140)*3/3)</f>
        <v>10.9272613464</v>
      </c>
    </row>
    <row r="337" customFormat="false" ht="15" hidden="false" customHeight="false" outlineLevel="0" collapsed="false">
      <c r="A337" s="10" t="s">
        <v>610</v>
      </c>
      <c r="C337" s="47" t="n">
        <f aca="false">C331*(Inputs!$B$142+(Inputs!$B$143-Inputs!$B$142)*0/3)</f>
        <v>3.239808</v>
      </c>
      <c r="D337" s="47" t="n">
        <f aca="false">D331*(Inputs!$B$142+(Inputs!$B$143-Inputs!$B$142)*1/3)</f>
        <v>3.5637888</v>
      </c>
      <c r="E337" s="47" t="n">
        <f aca="false">E331*(Inputs!$B$142+(Inputs!$B$143-Inputs!$B$142)*2/3)</f>
        <v>3.92016768</v>
      </c>
      <c r="F337" s="47" t="n">
        <f aca="false">F331*(Inputs!$B$142+(Inputs!$B$143-Inputs!$B$142)*3/3)</f>
        <v>4.312184448</v>
      </c>
    </row>
    <row r="338" customFormat="false" ht="15" hidden="false" customHeight="false" outlineLevel="0" collapsed="false">
      <c r="A338" s="10" t="s">
        <v>611</v>
      </c>
      <c r="C338" s="47" t="n">
        <f aca="false">C332*(Inputs!$B$144+(Inputs!$B$145-Inputs!$B$144)*0/3)</f>
        <v>3.7518768</v>
      </c>
      <c r="D338" s="47" t="n">
        <f aca="false">D332*(Inputs!$B$144+(Inputs!$B$145-Inputs!$B$144)*1/3)</f>
        <v>4.202102016</v>
      </c>
      <c r="E338" s="47" t="n">
        <f aca="false">E332*(Inputs!$B$144+(Inputs!$B$145-Inputs!$B$144)*2/3)</f>
        <v>4.70635425792</v>
      </c>
      <c r="F338" s="47" t="n">
        <f aca="false">F332*(Inputs!$B$144+(Inputs!$B$145-Inputs!$B$144)*3/3)</f>
        <v>5.2711167688704</v>
      </c>
    </row>
    <row r="339" customFormat="false" ht="15" hidden="false" customHeight="false" outlineLevel="0" collapsed="false">
      <c r="A339" s="10" t="s">
        <v>612</v>
      </c>
      <c r="C339" s="47" t="n">
        <f aca="false">C333*(Inputs!$B$146+(Inputs!$B$147-Inputs!$B$146)*0/3)</f>
        <v>-0</v>
      </c>
      <c r="D339" s="47" t="n">
        <f aca="false">D333*(Inputs!$B$146+(Inputs!$B$147-Inputs!$B$146)*1/3)</f>
        <v>-0.095</v>
      </c>
      <c r="E339" s="47" t="n">
        <f aca="false">E333*(Inputs!$B$146+(Inputs!$B$147-Inputs!$B$146)*2/3)</f>
        <v>0.00999999999999995</v>
      </c>
      <c r="F339" s="47" t="n">
        <f aca="false">F333*(Inputs!$B$146+(Inputs!$B$147-Inputs!$B$146)*3/3)</f>
        <v>0.42</v>
      </c>
    </row>
    <row r="340" customFormat="false" ht="15" hidden="false" customHeight="false" outlineLevel="0" collapsed="false">
      <c r="A340" s="10" t="s">
        <v>505</v>
      </c>
      <c r="C340" s="47" t="n">
        <f aca="false">C336+C337+C338+C339</f>
        <v>16.8409788</v>
      </c>
      <c r="D340" s="47" t="n">
        <f aca="false">D336+D337+D338+D339</f>
        <v>17.772730816</v>
      </c>
      <c r="E340" s="47" t="n">
        <f aca="false">E336+E337+E338+E339</f>
        <v>19.09445179792</v>
      </c>
      <c r="F340" s="47" t="n">
        <f aca="false">F336+F337+F338+F339</f>
        <v>20.9305625632704</v>
      </c>
    </row>
    <row r="341" customFormat="false" ht="15" hidden="false" customHeight="false" outlineLevel="0" collapsed="false">
      <c r="A341" s="10" t="s">
        <v>613</v>
      </c>
      <c r="B341" s="47" t="n">
        <f aca="false">(Inputs!$B$120+Inputs!$B$121+Inputs!$B$122)*Inputs!$B$148</f>
        <v>1.104</v>
      </c>
      <c r="C341" s="47" t="n">
        <f aca="false">C334*Inputs!$B$148</f>
        <v>4.3188528</v>
      </c>
      <c r="D341" s="47" t="n">
        <f aca="false">D334*Inputs!$B$148</f>
        <v>4.483480256</v>
      </c>
      <c r="E341" s="47" t="n">
        <f aca="false">E334*Inputs!$B$148</f>
        <v>4.69477166272</v>
      </c>
      <c r="F341" s="47" t="n">
        <f aca="false">F334*Inputs!$B$148</f>
        <v>4.9751964558464</v>
      </c>
    </row>
    <row r="342" customFormat="false" ht="15" hidden="false" customHeight="false" outlineLevel="0" collapsed="false">
      <c r="A342" s="10" t="s">
        <v>614</v>
      </c>
      <c r="B342" s="26" t="n">
        <v>0</v>
      </c>
      <c r="C342" s="26" t="n">
        <v>0</v>
      </c>
      <c r="D342" s="26" t="n">
        <v>0</v>
      </c>
      <c r="E342" s="26" t="n">
        <v>0</v>
      </c>
      <c r="F342" s="26" t="n">
        <v>0</v>
      </c>
    </row>
    <row r="343" customFormat="false" ht="15" hidden="false" customHeight="false" outlineLevel="0" collapsed="false">
      <c r="A343" s="10" t="s">
        <v>615</v>
      </c>
      <c r="B343" s="47" t="n">
        <f aca="false">Historicals!$C$76+Inputs!$B$53/4</f>
        <v>6.748</v>
      </c>
      <c r="C343" s="47" t="n">
        <f aca="false">Inputs!$B$53*MAX(0,MIN(1,(Inputs!$B$57-1+0.5)/Inputs!$B$57))+$B347*IF(1&lt;=Inputs!$B$49,1,0)/Inputs!$B$49+C346*0.5/Inputs!$B$49</f>
        <v>8.27359401666667</v>
      </c>
      <c r="D343" s="47" t="n">
        <f aca="false">Inputs!$B$53*MAX(0,MIN(1,(Inputs!$B$57-2+0.5)/Inputs!$B$57))+$B347*IF(2&lt;=Inputs!$B$49,1,0)/Inputs!$B$49+C346*IF(1&lt;=Inputs!$B$49-1,1,IF(1=Inputs!$B$49,0.5,0))/Inputs!$B$49+D346*0.5/Inputs!$B$49</f>
        <v>9.50782622366667</v>
      </c>
      <c r="E343" s="47" t="n">
        <f aca="false">Inputs!$B$53*MAX(0,MIN(1,(Inputs!$B$57-3+0.5)/Inputs!$B$57))+$B347*IF(3&lt;=Inputs!$B$49,1,0)/Inputs!$B$49+C346*IF(2&lt;=Inputs!$B$49-1,1,IF(2=Inputs!$B$49,0.5,0))/Inputs!$B$49+D346*IF(1&lt;=Inputs!$B$49-1,1,IF(1=Inputs!$B$49,0.5,0))/Inputs!$B$49+E346*0.5/Inputs!$B$49</f>
        <v>10.6032662533733</v>
      </c>
      <c r="F343" s="47" t="n">
        <f aca="false">Inputs!$B$53*MAX(0,MIN(1,(Inputs!$B$57-4+0.5)/Inputs!$B$57))+$B347*IF(4&lt;=Inputs!$B$49,1,0)/Inputs!$B$49+C346*IF(3&lt;=Inputs!$B$49-1,1,IF(3=Inputs!$B$49,0.5,0))/Inputs!$B$49+D346*IF(2&lt;=Inputs!$B$49-1,1,IF(2=Inputs!$B$49,0.5,0))/Inputs!$B$49+E346*IF(1&lt;=Inputs!$B$49-1,1,IF(1=Inputs!$B$49,0.5,0))/Inputs!$B$49+F346*0.5/Inputs!$B$49</f>
        <v>11.5650715395071</v>
      </c>
    </row>
    <row r="344" customFormat="false" ht="15" hidden="false" customHeight="false" outlineLevel="0" collapsed="false">
      <c r="A344" s="13" t="s">
        <v>513</v>
      </c>
      <c r="B344" s="18" t="n">
        <f aca="false">Historicals!$C$72+(Inputs!$B$120+Inputs!$B$121+Inputs!$B$122)*Inputs!$B$123</f>
        <v>2.471</v>
      </c>
      <c r="C344" s="18" t="n">
        <f aca="false">C340-C341-C343</f>
        <v>4.24853198333333</v>
      </c>
      <c r="D344" s="18" t="n">
        <f aca="false">D340-D341-D343</f>
        <v>3.78142433633334</v>
      </c>
      <c r="E344" s="18" t="n">
        <f aca="false">E340-E341-E343</f>
        <v>3.79641388182667</v>
      </c>
      <c r="F344" s="18" t="n">
        <f aca="false">F340-F341-F343</f>
        <v>4.39029456791687</v>
      </c>
    </row>
    <row r="345" customFormat="false" ht="15" hidden="false" customHeight="false" outlineLevel="0" collapsed="false">
      <c r="A345" s="10" t="s">
        <v>514</v>
      </c>
      <c r="B345" s="19" t="n">
        <f aca="false">IFERROR(B344/B334,0)</f>
        <v>0.0232523125276421</v>
      </c>
      <c r="C345" s="19" t="n">
        <f aca="false">IFERROR(C344/C334,0)</f>
        <v>0.0393487083730507</v>
      </c>
      <c r="D345" s="19" t="n">
        <f aca="false">IFERROR(D344/D334,0)</f>
        <v>0.0337365093223985</v>
      </c>
      <c r="E345" s="19" t="n">
        <f aca="false">IFERROR(E344/E334,0)</f>
        <v>0.0323458873365283</v>
      </c>
      <c r="F345" s="19" t="n">
        <f aca="false">IFERROR(F344/F334,0)</f>
        <v>0.0352974569497274</v>
      </c>
    </row>
    <row r="346" customFormat="false" ht="15" hidden="false" customHeight="false" outlineLevel="0" collapsed="false">
      <c r="A346" s="10" t="s">
        <v>616</v>
      </c>
      <c r="B346" s="47" t="n">
        <f aca="false">Inputs!$B$58</f>
        <v>20</v>
      </c>
      <c r="C346" s="47" t="n">
        <f aca="false">C334*(Inputs!$B$149+(Inputs!$B$150-Inputs!$B$149)*0/3)</f>
        <v>19.4348376</v>
      </c>
      <c r="D346" s="47" t="n">
        <f aca="false">D334*(Inputs!$B$149+(Inputs!$B$150-Inputs!$B$149)*1/3)</f>
        <v>18.3075443786667</v>
      </c>
      <c r="E346" s="47" t="n">
        <f aca="false">E334*(Inputs!$B$149+(Inputs!$B$150-Inputs!$B$149)*2/3)</f>
        <v>17.2141627633067</v>
      </c>
      <c r="F346" s="47" t="n">
        <f aca="false">F334*(Inputs!$B$149+(Inputs!$B$150-Inputs!$B$149)*3/3)</f>
        <v>16.1693884815008</v>
      </c>
    </row>
    <row r="347" customFormat="false" ht="15" hidden="false" customHeight="false" outlineLevel="0" collapsed="false">
      <c r="A347" s="10" t="s">
        <v>617</v>
      </c>
      <c r="B347" s="47" t="n">
        <f aca="false">Inputs!$B$58-Historicals!$C$78</f>
        <v>6.986</v>
      </c>
    </row>
    <row r="348" customFormat="false" ht="15" hidden="false" customHeight="false" outlineLevel="0" collapsed="false">
      <c r="A348" s="10" t="s">
        <v>618</v>
      </c>
      <c r="C348" s="48" t="n">
        <f aca="false">IFERROR(C346/C343,0)</f>
        <v>2.34901997376831</v>
      </c>
      <c r="D348" s="48" t="n">
        <f aca="false">IFERROR(D346/D343,0)</f>
        <v>1.92552366313721</v>
      </c>
      <c r="E348" s="48" t="n">
        <f aca="false">IFERROR(E346/E343,0)</f>
        <v>1.62347736555518</v>
      </c>
      <c r="F348" s="48" t="n">
        <f aca="false">IFERROR(F346/F343,0)</f>
        <v>1.3981226511453</v>
      </c>
    </row>
    <row r="349" customFormat="false" ht="15" hidden="false" customHeight="false" outlineLevel="0" collapsed="false">
      <c r="A349" s="10" t="s">
        <v>523</v>
      </c>
      <c r="B349" s="47" t="n">
        <f aca="false">B344-Inputs!$B$38*B346+Inputs!$B$38*B343</f>
        <v>-5.4802</v>
      </c>
      <c r="C349" s="47" t="n">
        <f aca="false">C344-Inputs!$B$38*C346+Inputs!$B$38*C343</f>
        <v>-2.44821416666667</v>
      </c>
      <c r="D349" s="47" t="n">
        <f aca="false">D344-Inputs!$B$38*D346+Inputs!$B$38*D343</f>
        <v>-1.49840655666666</v>
      </c>
      <c r="E349" s="47" t="n">
        <f aca="false">E344-Inputs!$B$38*E346+Inputs!$B$38*E343</f>
        <v>-0.17012402413333</v>
      </c>
      <c r="F349" s="47" t="n">
        <f aca="false">F344-Inputs!$B$38*F346+Inputs!$B$38*F343</f>
        <v>1.62770440272067</v>
      </c>
    </row>
    <row r="350" customFormat="false" ht="15" hidden="false" customHeight="false" outlineLevel="0" collapsed="false">
      <c r="A350" s="10" t="s">
        <v>524</v>
      </c>
      <c r="B350" s="47" t="n">
        <f aca="false">MIN(0,MAX(0,B349),1E+099)</f>
        <v>0</v>
      </c>
      <c r="C350" s="47" t="n">
        <f aca="false">MIN(B352,MAX(0,C349),1E+099)</f>
        <v>0</v>
      </c>
      <c r="D350" s="47" t="n">
        <f aca="false">MIN(C352,MAX(0,D349),1E+099)</f>
        <v>0</v>
      </c>
      <c r="E350" s="47" t="n">
        <f aca="false">MIN(D352,MAX(0,E349),1E+099)</f>
        <v>0</v>
      </c>
      <c r="F350" s="47" t="n">
        <f aca="false">MIN(E352,MAX(0,F349),1E+099)</f>
        <v>1.62770440272067</v>
      </c>
    </row>
    <row r="351" customFormat="false" ht="15" hidden="false" customHeight="false" outlineLevel="0" collapsed="false">
      <c r="A351" s="10" t="s">
        <v>525</v>
      </c>
      <c r="B351" s="47" t="n">
        <f aca="false">MIN(0,MAX(0,B349)-B350)</f>
        <v>0</v>
      </c>
      <c r="C351" s="47" t="n">
        <f aca="false">MIN(B353,MAX(0,C349)-C350)</f>
        <v>0</v>
      </c>
      <c r="D351" s="47" t="n">
        <f aca="false">MIN(C353,MAX(0,D349)-D350)</f>
        <v>0</v>
      </c>
      <c r="E351" s="47" t="n">
        <f aca="false">MIN(D353,MAX(0,E349)-E350)</f>
        <v>0</v>
      </c>
      <c r="F351" s="47" t="n">
        <f aca="false">MIN(E353,MAX(0,F349)-F350)</f>
        <v>0</v>
      </c>
    </row>
    <row r="352" customFormat="false" ht="15" hidden="false" customHeight="false" outlineLevel="0" collapsed="false">
      <c r="A352" s="10" t="s">
        <v>526</v>
      </c>
      <c r="B352" s="47" t="n">
        <f aca="false">0-B350+MAX(0,-B349)</f>
        <v>5.4802</v>
      </c>
      <c r="C352" s="47" t="n">
        <f aca="false">B352-C350</f>
        <v>5.4802</v>
      </c>
      <c r="D352" s="47" t="n">
        <f aca="false">C352-D350</f>
        <v>5.4802</v>
      </c>
      <c r="E352" s="47" t="n">
        <f aca="false">D352-E350</f>
        <v>5.4802</v>
      </c>
      <c r="F352" s="47" t="n">
        <f aca="false">E352-F350</f>
        <v>3.85249559727933</v>
      </c>
    </row>
    <row r="353" customFormat="false" ht="15" hidden="false" customHeight="false" outlineLevel="0" collapsed="false">
      <c r="A353" s="10" t="s">
        <v>527</v>
      </c>
      <c r="B353" s="26" t="n">
        <v>0</v>
      </c>
      <c r="C353" s="47" t="n">
        <f aca="false">B353-C351+MAX(0,-C349)</f>
        <v>2.44821416666667</v>
      </c>
      <c r="D353" s="47" t="n">
        <f aca="false">C353-D351+MAX(0,-D349)</f>
        <v>3.94662072333333</v>
      </c>
      <c r="E353" s="47" t="n">
        <f aca="false">D353-E351+MAX(0,-E349)</f>
        <v>4.11674474746666</v>
      </c>
      <c r="F353" s="47" t="n">
        <f aca="false">E353-F351+MAX(0,-F349)</f>
        <v>4.11674474746666</v>
      </c>
    </row>
    <row r="354" customFormat="false" ht="15" hidden="false" customHeight="false" outlineLevel="0" collapsed="false">
      <c r="A354" s="10" t="s">
        <v>528</v>
      </c>
      <c r="B354" s="47" t="n">
        <f aca="false">MAX(0,B349-B350-B351)*Inputs!$B$34</f>
        <v>0</v>
      </c>
      <c r="C354" s="47" t="n">
        <f aca="false">MAX(0,C349-C350-C351)*Inputs!$B$34</f>
        <v>0</v>
      </c>
      <c r="D354" s="47" t="n">
        <f aca="false">MAX(0,D349-D350-D351)*Inputs!$B$34</f>
        <v>0</v>
      </c>
      <c r="E354" s="47" t="n">
        <f aca="false">MAX(0,E349-E350-E351)*Inputs!$B$34</f>
        <v>0</v>
      </c>
      <c r="F354" s="47" t="n">
        <f aca="false">MAX(0,F349-F350-F351)*Inputs!$B$34</f>
        <v>0</v>
      </c>
    </row>
    <row r="355" customFormat="false" ht="15" hidden="false" customHeight="false" outlineLevel="0" collapsed="false">
      <c r="A355" s="10" t="s">
        <v>529</v>
      </c>
      <c r="B355" s="47" t="n">
        <f aca="false">B349-B354</f>
        <v>-5.4802</v>
      </c>
      <c r="C355" s="47" t="n">
        <f aca="false">C349-C354</f>
        <v>-2.44821416666667</v>
      </c>
      <c r="D355" s="47" t="n">
        <f aca="false">D349-D354</f>
        <v>-1.49840655666666</v>
      </c>
      <c r="E355" s="47" t="n">
        <f aca="false">E349-E354</f>
        <v>-0.17012402413333</v>
      </c>
      <c r="F355" s="47" t="n">
        <f aca="false">F349-F354</f>
        <v>1.62770440272067</v>
      </c>
    </row>
    <row r="356" customFormat="false" ht="15" hidden="false" customHeight="false" outlineLevel="0" collapsed="false">
      <c r="A356" s="10" t="s">
        <v>530</v>
      </c>
      <c r="B356" s="47" t="n">
        <f aca="false">MIN(Inputs!$B$39,Inputs!$B$35*MAX(0,B355),1E+099)</f>
        <v>0</v>
      </c>
      <c r="C356" s="47" t="n">
        <f aca="false">MIN(B358,Inputs!$B$35*MAX(0,C355),1E+099)</f>
        <v>0</v>
      </c>
      <c r="D356" s="47" t="n">
        <f aca="false">MIN(C358,Inputs!$B$35*MAX(0,D355),1E+099)</f>
        <v>0</v>
      </c>
      <c r="E356" s="47" t="n">
        <f aca="false">MIN(D358,Inputs!$B$35*MAX(0,E355),1E+099)</f>
        <v>0</v>
      </c>
      <c r="F356" s="47" t="n">
        <f aca="false">MIN(E358,Inputs!$B$35*MAX(0,F355),1E+099)</f>
        <v>1.30216352217654</v>
      </c>
    </row>
    <row r="357" customFormat="false" ht="15" hidden="false" customHeight="false" outlineLevel="0" collapsed="false">
      <c r="A357" s="10" t="s">
        <v>531</v>
      </c>
      <c r="B357" s="47" t="n">
        <f aca="false">MIN(0,Inputs!$B$35*MAX(0,B355)-B356)</f>
        <v>0</v>
      </c>
      <c r="C357" s="47" t="n">
        <f aca="false">MIN(B359,Inputs!$B$35*MAX(0,C355)-C356)</f>
        <v>0</v>
      </c>
      <c r="D357" s="47" t="n">
        <f aca="false">MIN(C359,Inputs!$B$35*MAX(0,D355)-D356)</f>
        <v>0</v>
      </c>
      <c r="E357" s="47" t="n">
        <f aca="false">MIN(D359,Inputs!$B$35*MAX(0,E355)-E356)</f>
        <v>0</v>
      </c>
      <c r="F357" s="47" t="n">
        <f aca="false">MIN(E359,Inputs!$B$35*MAX(0,F355)-F356)</f>
        <v>0</v>
      </c>
    </row>
    <row r="358" customFormat="false" ht="15" hidden="false" customHeight="false" outlineLevel="0" collapsed="false">
      <c r="A358" s="10" t="s">
        <v>532</v>
      </c>
      <c r="B358" s="47" t="n">
        <f aca="false">Inputs!$B$39-B356+MAX(0,-B355)</f>
        <v>5.4802</v>
      </c>
      <c r="C358" s="47" t="n">
        <f aca="false">B358-C356</f>
        <v>5.4802</v>
      </c>
      <c r="D358" s="47" t="n">
        <f aca="false">C358-D356</f>
        <v>5.4802</v>
      </c>
      <c r="E358" s="47" t="n">
        <f aca="false">D358-E356</f>
        <v>5.4802</v>
      </c>
      <c r="F358" s="47" t="n">
        <f aca="false">E358-F356</f>
        <v>4.17803647782346</v>
      </c>
    </row>
    <row r="359" customFormat="false" ht="15" hidden="false" customHeight="false" outlineLevel="0" collapsed="false">
      <c r="A359" s="10" t="s">
        <v>533</v>
      </c>
      <c r="B359" s="26" t="n">
        <v>0</v>
      </c>
      <c r="C359" s="47" t="n">
        <f aca="false">B359-C357+MAX(0,-C355)</f>
        <v>2.44821416666667</v>
      </c>
      <c r="D359" s="47" t="n">
        <f aca="false">C359-D357+MAX(0,-D355)</f>
        <v>3.94662072333333</v>
      </c>
      <c r="E359" s="47" t="n">
        <f aca="false">D359-E357+MAX(0,-E355)</f>
        <v>4.11674474746666</v>
      </c>
      <c r="F359" s="47" t="n">
        <f aca="false">E359-F357+MAX(0,-F355)</f>
        <v>4.11674474746666</v>
      </c>
    </row>
    <row r="360" customFormat="false" ht="15" hidden="false" customHeight="false" outlineLevel="0" collapsed="false">
      <c r="A360" s="10" t="s">
        <v>534</v>
      </c>
      <c r="B360" s="47" t="n">
        <f aca="false">MAX(0,B355-B356-B357)*Inputs!$B$33</f>
        <v>0</v>
      </c>
      <c r="C360" s="47" t="n">
        <f aca="false">MAX(0,C355-C356-C357)*Inputs!$B$33</f>
        <v>0</v>
      </c>
      <c r="D360" s="47" t="n">
        <f aca="false">MAX(0,D355-D356-D357)*Inputs!$B$33</f>
        <v>0</v>
      </c>
      <c r="E360" s="47" t="n">
        <f aca="false">MAX(0,E355-E356-E357)*Inputs!$B$33</f>
        <v>0</v>
      </c>
      <c r="F360" s="47" t="n">
        <f aca="false">MAX(0,F355-F356-F357)*Inputs!$B$33</f>
        <v>0.0683635849142681</v>
      </c>
    </row>
    <row r="361" customFormat="false" ht="15" hidden="false" customHeight="false" outlineLevel="0" collapsed="false">
      <c r="A361" s="10" t="s">
        <v>535</v>
      </c>
      <c r="B361" s="47" t="n">
        <f aca="false">MIN(0,B360,MAX(0,1E+099-B356)*Inputs!$B$33)</f>
        <v>0</v>
      </c>
      <c r="C361" s="47" t="n">
        <f aca="false">MIN(B362,C360,MAX(0,1E+099-C356)*Inputs!$B$33)</f>
        <v>0</v>
      </c>
      <c r="D361" s="47" t="n">
        <f aca="false">MIN(C362,D360,MAX(0,1E+099-D356)*Inputs!$B$33)</f>
        <v>0</v>
      </c>
      <c r="E361" s="47" t="n">
        <f aca="false">MIN(D362,E360,MAX(0,1E+099-E356)*Inputs!$B$33)</f>
        <v>0</v>
      </c>
      <c r="F361" s="47" t="n">
        <f aca="false">MIN(E362,F360,MAX(0,1E+099-F356)*Inputs!$B$33)</f>
        <v>0</v>
      </c>
    </row>
    <row r="362" customFormat="false" ht="15" hidden="false" customHeight="false" outlineLevel="0" collapsed="false">
      <c r="A362" s="10" t="s">
        <v>536</v>
      </c>
      <c r="B362" s="47" t="n">
        <f aca="false">0-B361</f>
        <v>0</v>
      </c>
      <c r="C362" s="47" t="n">
        <f aca="false">B362-C361</f>
        <v>0</v>
      </c>
      <c r="D362" s="47" t="n">
        <f aca="false">C362-D361</f>
        <v>0</v>
      </c>
      <c r="E362" s="47" t="n">
        <f aca="false">D362-E361</f>
        <v>0</v>
      </c>
      <c r="F362" s="47" t="n">
        <f aca="false">E362-F361</f>
        <v>0</v>
      </c>
    </row>
    <row r="363" customFormat="false" ht="15" hidden="false" customHeight="false" outlineLevel="0" collapsed="false">
      <c r="A363" s="13" t="s">
        <v>537</v>
      </c>
      <c r="B363" s="18" t="n">
        <f aca="false">MAX(0,(Inputs!$B$120+Inputs!$B$121+Inputs!$B$122)*Inputs!$B$123)*Inputs!$B$41</f>
        <v>0.0621</v>
      </c>
      <c r="C363" s="18" t="n">
        <f aca="false">C360-C361+C354</f>
        <v>0</v>
      </c>
      <c r="D363" s="18" t="n">
        <f aca="false">D360-D361+D354</f>
        <v>0</v>
      </c>
      <c r="E363" s="18" t="n">
        <f aca="false">E360-E361+E354</f>
        <v>0</v>
      </c>
      <c r="F363" s="18" t="n">
        <f aca="false">F360-F361+F354</f>
        <v>0.0683635849142681</v>
      </c>
    </row>
    <row r="364" customFormat="false" ht="15" hidden="false" customHeight="false" outlineLevel="0" collapsed="false">
      <c r="A364" s="10" t="s">
        <v>538</v>
      </c>
      <c r="B364" s="47" t="n">
        <f aca="false">0+Inputs!$B$38*(B346-B343)</f>
        <v>7.9512</v>
      </c>
      <c r="C364" s="47" t="n">
        <f aca="false">B364+Inputs!$B$38*(C346-C343)</f>
        <v>14.64794615</v>
      </c>
      <c r="D364" s="47" t="n">
        <f aca="false">C364+Inputs!$B$38*(D346-D343)</f>
        <v>19.927777043</v>
      </c>
      <c r="E364" s="47" t="n">
        <f aca="false">D364+Inputs!$B$38*(E346-E343)</f>
        <v>23.89431494896</v>
      </c>
      <c r="F364" s="47" t="n">
        <f aca="false">E364+Inputs!$B$38*(F346-F343)</f>
        <v>26.6569051141562</v>
      </c>
    </row>
    <row r="365" customFormat="false" ht="15" hidden="false" customHeight="false" outlineLevel="0" collapsed="false">
      <c r="A365" s="10" t="s">
        <v>539</v>
      </c>
      <c r="B365" s="47" t="n">
        <f aca="false">B364*Inputs!$B$79</f>
        <v>1.92100992</v>
      </c>
      <c r="C365" s="47" t="n">
        <f aca="false">C364*Inputs!$B$79</f>
        <v>3.53894378984</v>
      </c>
      <c r="D365" s="47" t="n">
        <f aca="false">D364*Inputs!$B$79</f>
        <v>4.8145509335888</v>
      </c>
      <c r="E365" s="47" t="n">
        <f aca="false">E364*Inputs!$B$79</f>
        <v>5.77286649166874</v>
      </c>
      <c r="F365" s="47" t="n">
        <f aca="false">F364*Inputs!$B$79</f>
        <v>6.44030827558014</v>
      </c>
    </row>
    <row r="366" customFormat="false" ht="15" hidden="false" customHeight="false" outlineLevel="0" collapsed="false">
      <c r="A366" s="10" t="s">
        <v>540</v>
      </c>
      <c r="C366" s="47" t="n">
        <f aca="false">C344-C363</f>
        <v>4.24853198333333</v>
      </c>
      <c r="D366" s="47" t="n">
        <f aca="false">D344-D363</f>
        <v>3.78142433633334</v>
      </c>
      <c r="E366" s="47" t="n">
        <f aca="false">E344-E363</f>
        <v>3.79641388182667</v>
      </c>
      <c r="F366" s="47" t="n">
        <f aca="false">F344-F363</f>
        <v>4.3219309830026</v>
      </c>
    </row>
    <row r="367" customFormat="false" ht="15" hidden="false" customHeight="false" outlineLevel="0" collapsed="false">
      <c r="A367" s="10" t="s">
        <v>541</v>
      </c>
      <c r="C367" s="47" t="n">
        <f aca="false">Inputs!$B$65*(C334-B334)</f>
        <v>0</v>
      </c>
      <c r="D367" s="47" t="n">
        <f aca="false">Inputs!$B$65*(D334-C334)</f>
        <v>0</v>
      </c>
      <c r="E367" s="47" t="n">
        <f aca="false">Inputs!$B$65*(E334-D334)</f>
        <v>0</v>
      </c>
      <c r="F367" s="47" t="n">
        <f aca="false">Inputs!$B$65*(F334-E334)</f>
        <v>0</v>
      </c>
    </row>
    <row r="368" customFormat="false" ht="15" hidden="false" customHeight="false" outlineLevel="0" collapsed="false">
      <c r="A368" s="13" t="s">
        <v>542</v>
      </c>
      <c r="B368" s="18" t="n">
        <f aca="false">B369-B341</f>
        <v>-4.9471</v>
      </c>
      <c r="C368" s="18" t="n">
        <f aca="false">C344+C343-C363-C346-C367</f>
        <v>-6.9127116</v>
      </c>
      <c r="D368" s="18" t="n">
        <f aca="false">D344+D343-D363-D346-D367</f>
        <v>-5.01829381866666</v>
      </c>
      <c r="E368" s="18" t="n">
        <f aca="false">E344+E343-E363-E346-E367</f>
        <v>-2.81448262810666</v>
      </c>
      <c r="F368" s="18" t="n">
        <f aca="false">F344+F343-F363-F346-F367</f>
        <v>-0.282385958991066</v>
      </c>
    </row>
    <row r="369" customFormat="false" ht="15" hidden="false" customHeight="false" outlineLevel="0" collapsed="false">
      <c r="A369" s="10" t="s">
        <v>543</v>
      </c>
      <c r="B369" s="47" t="n">
        <f aca="false">(Inputs!$B$120+Inputs!$B$121+Inputs!$B$122)*Inputs!$B$123+Inputs!$B$53/4+B341-B363-B347</f>
        <v>-3.8431</v>
      </c>
      <c r="C369" s="47" t="n">
        <f aca="false">C368+C341+C342</f>
        <v>-2.5938588</v>
      </c>
      <c r="D369" s="47" t="n">
        <f aca="false">D368+D341+D342</f>
        <v>-0.53481356266666</v>
      </c>
      <c r="E369" s="47" t="n">
        <f aca="false">E368+E341+E342</f>
        <v>1.88028903461334</v>
      </c>
      <c r="F369" s="47" t="n">
        <f aca="false">F368+F341+F342</f>
        <v>4.69281049685534</v>
      </c>
    </row>
    <row r="370" customFormat="false" ht="15" hidden="false" customHeight="false" outlineLevel="0" collapsed="false">
      <c r="A370" s="10" t="s">
        <v>544</v>
      </c>
      <c r="B370" s="47" t="n">
        <f aca="false">Historicals!$B$87</f>
        <v>45.447</v>
      </c>
      <c r="C370" s="47" t="n">
        <f aca="false">B381</f>
        <v>41.8977788944724</v>
      </c>
      <c r="D370" s="47" t="n">
        <f aca="false">C381</f>
        <v>40.3780568085325</v>
      </c>
      <c r="E370" s="47" t="n">
        <f aca="false">D381</f>
        <v>40.8973718184046</v>
      </c>
      <c r="F370" s="47" t="n">
        <f aca="false">E381</f>
        <v>43.9022737646796</v>
      </c>
    </row>
    <row r="371" customFormat="false" ht="15" hidden="false" customHeight="false" outlineLevel="0" collapsed="false">
      <c r="A371" s="10" t="s">
        <v>545</v>
      </c>
      <c r="B371" s="47" t="n">
        <f aca="false">Historicals!$B$88</f>
        <v>9.523</v>
      </c>
      <c r="C371" s="47" t="n">
        <f aca="false">B382</f>
        <v>9.523</v>
      </c>
      <c r="D371" s="47" t="n">
        <f aca="false">C382</f>
        <v>9.523</v>
      </c>
      <c r="E371" s="47" t="n">
        <f aca="false">D382</f>
        <v>9.523</v>
      </c>
      <c r="F371" s="47" t="n">
        <f aca="false">E382</f>
        <v>9.523</v>
      </c>
    </row>
    <row r="372" customFormat="false" ht="15" hidden="false" customHeight="false" outlineLevel="0" collapsed="false">
      <c r="A372" s="10" t="s">
        <v>546</v>
      </c>
      <c r="B372" s="26" t="n">
        <v>0</v>
      </c>
      <c r="C372" s="47" t="n">
        <f aca="false">Inputs!$B$63</f>
        <v>0</v>
      </c>
      <c r="D372" s="26" t="n">
        <v>0</v>
      </c>
      <c r="E372" s="26" t="n">
        <v>0</v>
      </c>
      <c r="F372" s="26" t="n">
        <v>0</v>
      </c>
    </row>
    <row r="373" customFormat="false" ht="15" hidden="false" customHeight="false" outlineLevel="0" collapsed="false">
      <c r="A373" s="10" t="s">
        <v>547</v>
      </c>
      <c r="B373" s="47" t="n">
        <f aca="false">(B370+B369-B372+Inputs!$B$60/4*B370/2-Inputs!$B$61/4*(B371-B372/2))/(1-Inputs!$B$60/4/2)</f>
        <v>41.8977788944724</v>
      </c>
      <c r="C373" s="47" t="n">
        <f aca="false">(C370+C369-C372+Inputs!$B$60*C370/2-Inputs!$B$61*(C371-C372/2))/(1-Inputs!$B$60/2)</f>
        <v>40.3780568085325</v>
      </c>
      <c r="D373" s="47" t="n">
        <f aca="false">(D370+D369-D372+Inputs!$B$60*D370/2-Inputs!$B$61*(D371-D372/2))/(1-Inputs!$B$60/2)</f>
        <v>40.8973718184046</v>
      </c>
      <c r="E373" s="47" t="n">
        <f aca="false">(E370+E369-E372+Inputs!$B$60*E370/2-Inputs!$B$61*(E371-E372/2))/(1-Inputs!$B$60/2)</f>
        <v>43.9022737646796</v>
      </c>
      <c r="F373" s="47" t="n">
        <f aca="false">(F370+F369-F372+Inputs!$B$60*F370/2-Inputs!$B$61*(F371-F372/2))/(1-Inputs!$B$60/2)</f>
        <v>49.8997446294168</v>
      </c>
    </row>
    <row r="374" customFormat="false" ht="15" hidden="false" customHeight="false" outlineLevel="0" collapsed="false">
      <c r="A374" s="10" t="s">
        <v>548</v>
      </c>
      <c r="B374" s="47" t="n">
        <f aca="false">IF(B373&gt;=Inputs!$B$67,0,(Inputs!$B$67-B370-B369+B372-Inputs!$B$60/4*(B370+Inputs!$B$67)/2+Inputs!$B$61/4*(B371-B372/2))/(1-Inputs!$B$61/4*Inputs!$B$69/(2*(1-Inputs!$B$70))))</f>
        <v>0</v>
      </c>
      <c r="C374" s="47" t="n">
        <f aca="false">IF(C373&gt;=Inputs!$B$67,0,(Inputs!$B$67-C370-C369+C372-Inputs!$B$60*(C370+Inputs!$B$67)/2+Inputs!$B$61*(C371-C372/2))/(1-Inputs!$B$61*Inputs!$B$69/(2*(1-Inputs!$B$70))))</f>
        <v>0</v>
      </c>
      <c r="D374" s="47" t="n">
        <f aca="false">IF(D373&gt;=Inputs!$B$67,0,(Inputs!$B$67-D370-D369+D372-Inputs!$B$60*(D370+Inputs!$B$67)/2+Inputs!$B$61*(D371-D372/2))/(1-Inputs!$B$61*Inputs!$B$69/(2*(1-Inputs!$B$70))))</f>
        <v>0</v>
      </c>
      <c r="E374" s="47" t="n">
        <f aca="false">IF(E373&gt;=Inputs!$B$67,0,(Inputs!$B$67-E370-E369+E372-Inputs!$B$60*(E370+Inputs!$B$67)/2+Inputs!$B$61*(E371-E372/2))/(1-Inputs!$B$61*Inputs!$B$69/(2*(1-Inputs!$B$70))))</f>
        <v>0</v>
      </c>
      <c r="F374" s="47" t="n">
        <f aca="false">IF(F373&gt;=Inputs!$B$67,0,(Inputs!$B$67-F370-F369+F372-Inputs!$B$60*(F370+Inputs!$B$67)/2+Inputs!$B$61*(F371-F372/2))/(1-Inputs!$B$61*Inputs!$B$69/(2*(1-Inputs!$B$70))))</f>
        <v>0</v>
      </c>
    </row>
    <row r="375" customFormat="false" ht="15" hidden="false" customHeight="false" outlineLevel="0" collapsed="false">
      <c r="A375" s="10" t="s">
        <v>549</v>
      </c>
      <c r="B375" s="47" t="n">
        <f aca="false">B374/(1-Inputs!$B$70)</f>
        <v>0</v>
      </c>
      <c r="C375" s="47" t="n">
        <f aca="false">C374/(1-Inputs!$B$70)</f>
        <v>0</v>
      </c>
      <c r="D375" s="47" t="n">
        <f aca="false">D374/(1-Inputs!$B$70)</f>
        <v>0</v>
      </c>
      <c r="E375" s="47" t="n">
        <f aca="false">E374/(1-Inputs!$B$70)</f>
        <v>0</v>
      </c>
      <c r="F375" s="47" t="n">
        <f aca="false">F374/(1-Inputs!$B$70)</f>
        <v>0</v>
      </c>
    </row>
    <row r="376" customFormat="false" ht="15" hidden="false" customHeight="false" outlineLevel="0" collapsed="false">
      <c r="A376" s="10" t="s">
        <v>550</v>
      </c>
      <c r="B376" s="47" t="n">
        <f aca="false">B375*Inputs!$B$69</f>
        <v>0</v>
      </c>
      <c r="C376" s="47" t="n">
        <f aca="false">C375*Inputs!$B$69</f>
        <v>0</v>
      </c>
      <c r="D376" s="47" t="n">
        <f aca="false">D375*Inputs!$B$69</f>
        <v>0</v>
      </c>
      <c r="E376" s="47" t="n">
        <f aca="false">E375*Inputs!$B$69</f>
        <v>0</v>
      </c>
      <c r="F376" s="47" t="n">
        <f aca="false">F375*Inputs!$B$69</f>
        <v>0</v>
      </c>
    </row>
    <row r="377" customFormat="false" ht="15" hidden="false" customHeight="false" outlineLevel="0" collapsed="false">
      <c r="A377" s="10" t="s">
        <v>551</v>
      </c>
      <c r="B377" s="47" t="n">
        <f aca="false">B375-B376</f>
        <v>0</v>
      </c>
      <c r="C377" s="47" t="n">
        <f aca="false">C375-C376</f>
        <v>0</v>
      </c>
      <c r="D377" s="47" t="n">
        <f aca="false">D375-D376</f>
        <v>0</v>
      </c>
      <c r="E377" s="47" t="n">
        <f aca="false">E375-E376</f>
        <v>0</v>
      </c>
      <c r="F377" s="47" t="n">
        <f aca="false">F375-F376</f>
        <v>0</v>
      </c>
    </row>
    <row r="378" customFormat="false" ht="15" hidden="false" customHeight="false" outlineLevel="0" collapsed="false">
      <c r="A378" s="10" t="s">
        <v>552</v>
      </c>
      <c r="B378" s="47" t="n">
        <f aca="false">B375-B374</f>
        <v>0</v>
      </c>
      <c r="C378" s="47" t="n">
        <f aca="false">C375-C374</f>
        <v>0</v>
      </c>
      <c r="D378" s="47" t="n">
        <f aca="false">D375-D374</f>
        <v>0</v>
      </c>
      <c r="E378" s="47" t="n">
        <f aca="false">E375-E374</f>
        <v>0</v>
      </c>
      <c r="F378" s="47" t="n">
        <f aca="false">F375-F374</f>
        <v>0</v>
      </c>
    </row>
    <row r="379" customFormat="false" ht="15" hidden="false" customHeight="false" outlineLevel="0" collapsed="false">
      <c r="A379" s="10" t="s">
        <v>553</v>
      </c>
      <c r="B379" s="47" t="n">
        <f aca="false">Inputs!$B$60/4*(B370+B381)/2</f>
        <v>0.436723894472362</v>
      </c>
      <c r="C379" s="47" t="n">
        <f aca="false">Inputs!$B$60*(C370+C381)/2</f>
        <v>1.6455167140601</v>
      </c>
      <c r="D379" s="47" t="n">
        <f aca="false">Inputs!$B$60*(D370+D381)/2</f>
        <v>1.62550857253874</v>
      </c>
      <c r="E379" s="47" t="n">
        <f aca="false">Inputs!$B$60*(E370+E381)/2</f>
        <v>1.69599291166168</v>
      </c>
      <c r="F379" s="47" t="n">
        <f aca="false">Inputs!$B$60*(F370+F381)/2</f>
        <v>1.87604036788193</v>
      </c>
    </row>
    <row r="380" customFormat="false" ht="15" hidden="false" customHeight="false" outlineLevel="0" collapsed="false">
      <c r="A380" s="10" t="s">
        <v>554</v>
      </c>
      <c r="B380" s="47" t="n">
        <f aca="false">Inputs!$B$61/4*(B371-B372/2+B376/2)</f>
        <v>0.142845</v>
      </c>
      <c r="C380" s="47" t="n">
        <f aca="false">Inputs!$B$61*(C371-C372/2+C376/2)</f>
        <v>0.57138</v>
      </c>
      <c r="D380" s="47" t="n">
        <f aca="false">Inputs!$B$61*(D371-D372/2+D376/2)</f>
        <v>0.57138</v>
      </c>
      <c r="E380" s="47" t="n">
        <f aca="false">Inputs!$B$61*(E371-E372/2+E376/2)</f>
        <v>0.57138</v>
      </c>
      <c r="F380" s="47" t="n">
        <f aca="false">Inputs!$B$61*(F371-F372/2+F376/2)</f>
        <v>0.57138</v>
      </c>
    </row>
    <row r="381" customFormat="false" ht="15" hidden="false" customHeight="false" outlineLevel="0" collapsed="false">
      <c r="A381" s="13" t="s">
        <v>555</v>
      </c>
      <c r="B381" s="18" t="n">
        <f aca="false">IF(B374&gt;0,Inputs!$B$67,B373)</f>
        <v>41.8977788944724</v>
      </c>
      <c r="C381" s="18" t="n">
        <f aca="false">IF(C374&gt;0,Inputs!$B$67,C373)</f>
        <v>40.3780568085325</v>
      </c>
      <c r="D381" s="18" t="n">
        <f aca="false">IF(D374&gt;0,Inputs!$B$67,D373)</f>
        <v>40.8973718184046</v>
      </c>
      <c r="E381" s="18" t="n">
        <f aca="false">IF(E374&gt;0,Inputs!$B$67,E373)</f>
        <v>43.9022737646796</v>
      </c>
      <c r="F381" s="18" t="n">
        <f aca="false">IF(F374&gt;0,Inputs!$B$67,F373)</f>
        <v>49.8997446294168</v>
      </c>
    </row>
    <row r="382" customFormat="false" ht="15" hidden="false" customHeight="false" outlineLevel="0" collapsed="false">
      <c r="A382" s="10" t="s">
        <v>556</v>
      </c>
      <c r="B382" s="47" t="n">
        <f aca="false">B371-B372+B376</f>
        <v>9.523</v>
      </c>
      <c r="C382" s="47" t="n">
        <f aca="false">C371-C372+C376</f>
        <v>9.523</v>
      </c>
      <c r="D382" s="47" t="n">
        <f aca="false">D371-D372+D376</f>
        <v>9.523</v>
      </c>
      <c r="E382" s="47" t="n">
        <f aca="false">E371-E372+E376</f>
        <v>9.523</v>
      </c>
      <c r="F382" s="47" t="n">
        <f aca="false">F371-F372+F376</f>
        <v>9.523</v>
      </c>
    </row>
    <row r="383" customFormat="false" ht="15" hidden="false" customHeight="false" outlineLevel="0" collapsed="false">
      <c r="A383" s="13" t="s">
        <v>557</v>
      </c>
      <c r="B383" s="18" t="n">
        <f aca="false">B381-B382</f>
        <v>32.3747788944724</v>
      </c>
      <c r="C383" s="18" t="n">
        <f aca="false">C381-C382</f>
        <v>30.8550568085325</v>
      </c>
      <c r="D383" s="18" t="n">
        <f aca="false">D381-D382</f>
        <v>31.3743718184046</v>
      </c>
      <c r="E383" s="18" t="n">
        <f aca="false">E381-E382</f>
        <v>34.3792737646796</v>
      </c>
      <c r="F383" s="18" t="n">
        <f aca="false">F381-F382</f>
        <v>40.3767446294168</v>
      </c>
    </row>
    <row r="384" customFormat="false" ht="15" hidden="false" customHeight="false" outlineLevel="0" collapsed="false">
      <c r="A384" s="10" t="s">
        <v>558</v>
      </c>
      <c r="B384" s="33" t="n">
        <f aca="false">ROUND(B370+B369-B372+B379-B380+B374-B381,6)</f>
        <v>0</v>
      </c>
      <c r="C384" s="33" t="n">
        <f aca="false">ROUND(C370+C369-C372+C379-C380+C374-C381,6)</f>
        <v>0</v>
      </c>
      <c r="D384" s="33" t="n">
        <f aca="false">ROUND(D370+D369-D372+D379-D380+D374-D381,6)</f>
        <v>0</v>
      </c>
      <c r="E384" s="33" t="n">
        <f aca="false">ROUND(E370+E369-E372+E379-E380+E374-E381,6)</f>
        <v>0</v>
      </c>
      <c r="F384" s="33" t="n">
        <f aca="false">ROUND(F370+F369-F372+F379-F380+F374-F381,6)</f>
        <v>0</v>
      </c>
    </row>
    <row r="385" customFormat="false" ht="15" hidden="false" customHeight="false" outlineLevel="0" collapsed="false">
      <c r="A385" s="10" t="s">
        <v>559</v>
      </c>
      <c r="B385" s="47" t="n">
        <f aca="false">B375</f>
        <v>0</v>
      </c>
      <c r="C385" s="47" t="n">
        <f aca="false">B385+C375</f>
        <v>0</v>
      </c>
      <c r="D385" s="47" t="n">
        <f aca="false">C385+D375</f>
        <v>0</v>
      </c>
      <c r="E385" s="47" t="n">
        <f aca="false">D385+E375</f>
        <v>0</v>
      </c>
      <c r="F385" s="47" t="n">
        <f aca="false">E385+F375</f>
        <v>0</v>
      </c>
    </row>
    <row r="386" customFormat="false" ht="15" hidden="false" customHeight="false" outlineLevel="0" collapsed="false">
      <c r="A386" s="10" t="s">
        <v>560</v>
      </c>
      <c r="B386" s="49" t="str">
        <f aca="false">IF(B385&gt;Inputs!$B$73,"UNFUNDED: above limit",IF(B375&gt;0,"Raising","OK"))</f>
        <v>OK</v>
      </c>
      <c r="C386" s="49" t="str">
        <f aca="false">IF(C385&gt;Inputs!$B$73,"UNFUNDED: above limit",IF(C375&gt;0,"Raising","OK"))</f>
        <v>OK</v>
      </c>
      <c r="D386" s="49" t="str">
        <f aca="false">IF(D385&gt;Inputs!$B$73,"UNFUNDED: above limit",IF(D375&gt;0,"Raising","OK"))</f>
        <v>OK</v>
      </c>
      <c r="E386" s="49" t="str">
        <f aca="false">IF(E385&gt;Inputs!$B$73,"UNFUNDED: above limit",IF(E375&gt;0,"Raising","OK"))</f>
        <v>OK</v>
      </c>
      <c r="F386" s="49" t="str">
        <f aca="false">IF(F385&gt;Inputs!$B$73,"UNFUNDED: above limit",IF(F375&gt;0,"Raising","OK"))</f>
        <v>OK</v>
      </c>
    </row>
    <row r="387" customFormat="false" ht="15" hidden="false" customHeight="false" outlineLevel="0" collapsed="false">
      <c r="A387" s="10" t="s">
        <v>561</v>
      </c>
      <c r="B387" s="47" t="n">
        <f aca="false">$F$344</f>
        <v>4.39029456791687</v>
      </c>
    </row>
    <row r="388" customFormat="false" ht="15" hidden="false" customHeight="false" outlineLevel="0" collapsed="false">
      <c r="A388" s="10" t="s">
        <v>562</v>
      </c>
      <c r="B388" s="19" t="n">
        <f aca="false">IF(Inputs!$B$8=1,Inputs!$B$79,IFERROR($F$363/$F$344,0))</f>
        <v>0.2416</v>
      </c>
    </row>
    <row r="389" customFormat="false" ht="15" hidden="false" customHeight="false" outlineLevel="0" collapsed="false">
      <c r="A389" s="10" t="s">
        <v>563</v>
      </c>
      <c r="B389" s="47" t="n">
        <f aca="false">$B$387*(1-$B$388)</f>
        <v>3.32959940030816</v>
      </c>
    </row>
    <row r="390" customFormat="false" ht="15" hidden="false" customHeight="false" outlineLevel="0" collapsed="false">
      <c r="A390" s="10" t="s">
        <v>564</v>
      </c>
      <c r="B390" s="50" t="n">
        <f aca="false">Inputs!$B$152</f>
        <v>25</v>
      </c>
    </row>
    <row r="391" customFormat="false" ht="15" hidden="false" customHeight="false" outlineLevel="0" collapsed="false">
      <c r="A391" s="10" t="s">
        <v>565</v>
      </c>
      <c r="B391" s="47" t="n">
        <f aca="false">$B$389*$B$390*$F$527</f>
        <v>54.83275641194</v>
      </c>
    </row>
    <row r="392" customFormat="false" ht="15" hidden="false" customHeight="false" outlineLevel="0" collapsed="false">
      <c r="A392" s="10" t="s">
        <v>566</v>
      </c>
      <c r="B392" s="47" t="n">
        <f aca="false">SUMPRODUCT($C$368:$F$368,$C$527:$F$527)</f>
        <v>-12.5445697662918</v>
      </c>
    </row>
    <row r="393" customFormat="false" ht="15" hidden="false" customHeight="false" outlineLevel="0" collapsed="false">
      <c r="A393" s="10" t="s">
        <v>567</v>
      </c>
      <c r="B393" s="18" t="n">
        <f aca="false">$B$391+$B$392</f>
        <v>42.2881866456482</v>
      </c>
    </row>
    <row r="394" customFormat="false" ht="15" hidden="false" customHeight="false" outlineLevel="0" collapsed="false">
      <c r="A394" s="10" t="s">
        <v>568</v>
      </c>
      <c r="B394" s="47" t="n">
        <f aca="false">$B$389+$F$343-$F$346-$F$367</f>
        <v>-1.27471754168552</v>
      </c>
    </row>
    <row r="395" customFormat="false" ht="15" hidden="false" customHeight="false" outlineLevel="0" collapsed="false">
      <c r="A395" s="10" t="s">
        <v>569</v>
      </c>
      <c r="B395" s="50" t="n">
        <f aca="false">Inputs!$B$153</f>
        <v>20</v>
      </c>
    </row>
    <row r="396" customFormat="false" ht="15" hidden="false" customHeight="false" outlineLevel="0" collapsed="false">
      <c r="A396" s="10" t="s">
        <v>570</v>
      </c>
      <c r="B396" s="47" t="n">
        <f aca="false">$B$394*$B$395*$F$527</f>
        <v>-16.7939185598844</v>
      </c>
    </row>
    <row r="397" customFormat="false" ht="15" hidden="false" customHeight="false" outlineLevel="0" collapsed="false">
      <c r="A397" s="10" t="s">
        <v>571</v>
      </c>
      <c r="B397" s="18" t="n">
        <f aca="false">$B$392+$B$396</f>
        <v>-29.3384883261762</v>
      </c>
    </row>
    <row r="398" customFormat="false" ht="15" hidden="false" customHeight="false" outlineLevel="0" collapsed="false">
      <c r="A398" s="13" t="s">
        <v>572</v>
      </c>
      <c r="B398" s="18" t="n">
        <f aca="false">$B$393*Inputs!$B$7+$B$397*(1-Inputs!$B$7)</f>
        <v>6.47484915973597</v>
      </c>
    </row>
    <row r="399" customFormat="false" ht="15" hidden="false" customHeight="false" outlineLevel="0" collapsed="false">
      <c r="A399" s="10" t="s">
        <v>573</v>
      </c>
      <c r="B399" s="47" t="n">
        <f aca="false">MAX(0,$F$349)</f>
        <v>1.62770440272067</v>
      </c>
      <c r="H399" s="51" t="n">
        <v>1</v>
      </c>
      <c r="I399" s="51" t="n">
        <v>2</v>
      </c>
      <c r="J399" s="51" t="n">
        <v>3</v>
      </c>
      <c r="K399" s="51" t="n">
        <v>4</v>
      </c>
      <c r="L399" s="51" t="n">
        <v>5</v>
      </c>
      <c r="M399" s="51" t="n">
        <v>6</v>
      </c>
      <c r="N399" s="51" t="n">
        <v>7</v>
      </c>
      <c r="O399" s="51" t="n">
        <v>8</v>
      </c>
      <c r="P399" s="51" t="n">
        <v>9</v>
      </c>
      <c r="Q399" s="51" t="n">
        <v>10</v>
      </c>
      <c r="R399" s="51" t="n">
        <v>11</v>
      </c>
      <c r="S399" s="51" t="n">
        <v>12</v>
      </c>
      <c r="T399" s="51" t="n">
        <v>13</v>
      </c>
      <c r="U399" s="51" t="n">
        <v>14</v>
      </c>
      <c r="V399" s="51" t="n">
        <v>15</v>
      </c>
      <c r="W399" s="51" t="n">
        <v>16</v>
      </c>
      <c r="X399" s="51" t="n">
        <v>17</v>
      </c>
      <c r="Y399" s="51" t="n">
        <v>18</v>
      </c>
      <c r="Z399" s="51" t="n">
        <v>19</v>
      </c>
      <c r="AA399" s="51" t="n">
        <v>20</v>
      </c>
      <c r="AB399" s="51" t="n">
        <v>21</v>
      </c>
      <c r="AC399" s="51" t="n">
        <v>22</v>
      </c>
      <c r="AD399" s="51" t="n">
        <v>23</v>
      </c>
      <c r="AE399" s="51" t="n">
        <v>24</v>
      </c>
      <c r="AF399" s="51" t="n">
        <v>25</v>
      </c>
      <c r="AG399" s="51" t="n">
        <v>26</v>
      </c>
      <c r="AH399" s="51" t="n">
        <v>27</v>
      </c>
      <c r="AI399" s="51" t="n">
        <v>28</v>
      </c>
      <c r="AJ399" s="51" t="n">
        <v>29</v>
      </c>
      <c r="AK399" s="51" t="n">
        <v>30</v>
      </c>
    </row>
    <row r="400" customFormat="false" ht="15" hidden="false" customHeight="false" outlineLevel="0" collapsed="false">
      <c r="A400" s="10" t="s">
        <v>574</v>
      </c>
      <c r="H400" s="25" t="n">
        <f aca="false">1/(1+Inputs!$B$6)^1</f>
        <v>0.900900900900901</v>
      </c>
      <c r="I400" s="25" t="n">
        <f aca="false">1/(1+Inputs!$B$6)^2</f>
        <v>0.811622433244055</v>
      </c>
      <c r="J400" s="25" t="n">
        <f aca="false">1/(1+Inputs!$B$6)^3</f>
        <v>0.73119138130095</v>
      </c>
      <c r="K400" s="25" t="n">
        <f aca="false">1/(1+Inputs!$B$6)^4</f>
        <v>0.658730974145</v>
      </c>
      <c r="L400" s="25" t="n">
        <f aca="false">1/(1+Inputs!$B$6)^5</f>
        <v>0.593451328058559</v>
      </c>
      <c r="M400" s="25" t="n">
        <f aca="false">1/(1+Inputs!$B$6)^6</f>
        <v>0.534640836088791</v>
      </c>
      <c r="N400" s="25" t="n">
        <f aca="false">1/(1+Inputs!$B$6)^7</f>
        <v>0.481658410890803</v>
      </c>
      <c r="O400" s="25" t="n">
        <f aca="false">1/(1+Inputs!$B$6)^8</f>
        <v>0.433926496298021</v>
      </c>
      <c r="P400" s="25" t="n">
        <f aca="false">1/(1+Inputs!$B$6)^9</f>
        <v>0.390924771439658</v>
      </c>
      <c r="Q400" s="25" t="n">
        <f aca="false">1/(1+Inputs!$B$6)^10</f>
        <v>0.352184478774467</v>
      </c>
      <c r="R400" s="25" t="n">
        <f aca="false">1/(1+Inputs!$B$6)^11</f>
        <v>0.317283314211231</v>
      </c>
      <c r="S400" s="25" t="n">
        <f aca="false">1/(1+Inputs!$B$6)^12</f>
        <v>0.285840823613722</v>
      </c>
      <c r="T400" s="25" t="n">
        <f aca="false">1/(1+Inputs!$B$6)^13</f>
        <v>0.257514255507858</v>
      </c>
      <c r="U400" s="25" t="n">
        <f aca="false">1/(1+Inputs!$B$6)^14</f>
        <v>0.231994824781854</v>
      </c>
      <c r="V400" s="25" t="n">
        <f aca="false">1/(1+Inputs!$B$6)^15</f>
        <v>0.209004346650319</v>
      </c>
      <c r="W400" s="25" t="n">
        <f aca="false">1/(1+Inputs!$B$6)^16</f>
        <v>0.188292204189476</v>
      </c>
      <c r="X400" s="25" t="n">
        <f aca="false">1/(1+Inputs!$B$6)^17</f>
        <v>0.169632616386915</v>
      </c>
      <c r="Y400" s="25" t="n">
        <f aca="false">1/(1+Inputs!$B$6)^18</f>
        <v>0.152822176925149</v>
      </c>
      <c r="Z400" s="25" t="n">
        <f aca="false">1/(1+Inputs!$B$6)^19</f>
        <v>0.137677636869504</v>
      </c>
      <c r="AA400" s="25" t="n">
        <f aca="false">1/(1+Inputs!$B$6)^20</f>
        <v>0.124033907089643</v>
      </c>
      <c r="AB400" s="25" t="n">
        <f aca="false">1/(1+Inputs!$B$6)^21</f>
        <v>0.111742258639318</v>
      </c>
      <c r="AC400" s="25" t="n">
        <f aca="false">1/(1+Inputs!$B$6)^22</f>
        <v>0.100668701476863</v>
      </c>
      <c r="AD400" s="25" t="n">
        <f aca="false">1/(1+Inputs!$B$6)^23</f>
        <v>0.0906925238530297</v>
      </c>
      <c r="AE400" s="25" t="n">
        <f aca="false">1/(1+Inputs!$B$6)^24</f>
        <v>0.0817049764441709</v>
      </c>
      <c r="AF400" s="25" t="n">
        <f aca="false">1/(1+Inputs!$B$6)^25</f>
        <v>0.0736080868866405</v>
      </c>
      <c r="AG400" s="25" t="n">
        <f aca="false">1/(1+Inputs!$B$6)^26</f>
        <v>0.0663135917897662</v>
      </c>
      <c r="AH400" s="25" t="n">
        <f aca="false">1/(1+Inputs!$B$6)^27</f>
        <v>0.0597419745853749</v>
      </c>
      <c r="AI400" s="25" t="n">
        <f aca="false">1/(1+Inputs!$B$6)^28</f>
        <v>0.053821598725563</v>
      </c>
      <c r="AJ400" s="25" t="n">
        <f aca="false">1/(1+Inputs!$B$6)^29</f>
        <v>0.0484879267797865</v>
      </c>
      <c r="AK400" s="25" t="n">
        <f aca="false">1/(1+Inputs!$B$6)^30</f>
        <v>0.0436828169187266</v>
      </c>
    </row>
    <row r="401" customFormat="false" ht="15" hidden="false" customHeight="false" outlineLevel="0" collapsed="false">
      <c r="A401" s="10" t="s">
        <v>575</v>
      </c>
      <c r="G401" s="47" t="n">
        <f aca="false">$F$352</f>
        <v>3.85249559727933</v>
      </c>
      <c r="H401" s="47" t="n">
        <f aca="false">G401</f>
        <v>3.85249559727933</v>
      </c>
      <c r="I401" s="47" t="n">
        <f aca="false">H401-H402</f>
        <v>2.22479119455866</v>
      </c>
      <c r="J401" s="47" t="n">
        <f aca="false">I401-I402</f>
        <v>0.597086791837988</v>
      </c>
      <c r="K401" s="47" t="n">
        <f aca="false">J401-J402</f>
        <v>0</v>
      </c>
      <c r="L401" s="47" t="n">
        <f aca="false">K401-K402</f>
        <v>0</v>
      </c>
      <c r="M401" s="47" t="n">
        <f aca="false">L401-L402</f>
        <v>0</v>
      </c>
      <c r="N401" s="47" t="n">
        <f aca="false">M401-M402</f>
        <v>0</v>
      </c>
      <c r="O401" s="47" t="n">
        <f aca="false">N401-N402</f>
        <v>0</v>
      </c>
      <c r="P401" s="47" t="n">
        <f aca="false">O401-O402</f>
        <v>0</v>
      </c>
      <c r="Q401" s="47" t="n">
        <f aca="false">P401-P402</f>
        <v>0</v>
      </c>
      <c r="R401" s="47" t="n">
        <f aca="false">Q401-Q402</f>
        <v>0</v>
      </c>
      <c r="S401" s="47" t="n">
        <f aca="false">R401-R402</f>
        <v>0</v>
      </c>
      <c r="T401" s="47" t="n">
        <f aca="false">S401-S402</f>
        <v>0</v>
      </c>
      <c r="U401" s="47" t="n">
        <f aca="false">T401-T402</f>
        <v>0</v>
      </c>
      <c r="V401" s="47" t="n">
        <f aca="false">U401-U402</f>
        <v>0</v>
      </c>
      <c r="W401" s="47" t="n">
        <f aca="false">V401-V402</f>
        <v>0</v>
      </c>
      <c r="X401" s="47" t="n">
        <f aca="false">W401-W402</f>
        <v>0</v>
      </c>
      <c r="Y401" s="47" t="n">
        <f aca="false">X401-X402</f>
        <v>0</v>
      </c>
      <c r="Z401" s="47" t="n">
        <f aca="false">Y401-Y402</f>
        <v>0</v>
      </c>
      <c r="AA401" s="47" t="n">
        <f aca="false">Z401-Z402</f>
        <v>0</v>
      </c>
      <c r="AB401" s="47" t="n">
        <f aca="false">AA401-AA402</f>
        <v>0</v>
      </c>
      <c r="AC401" s="47" t="n">
        <f aca="false">AB401-AB402</f>
        <v>0</v>
      </c>
      <c r="AD401" s="47" t="n">
        <f aca="false">AC401-AC402</f>
        <v>0</v>
      </c>
      <c r="AE401" s="47" t="n">
        <f aca="false">AD401-AD402</f>
        <v>0</v>
      </c>
      <c r="AF401" s="47" t="n">
        <f aca="false">AE401-AE402</f>
        <v>0</v>
      </c>
      <c r="AG401" s="47" t="n">
        <f aca="false">AF401-AF402</f>
        <v>0</v>
      </c>
      <c r="AH401" s="47" t="n">
        <f aca="false">AG401-AG402</f>
        <v>0</v>
      </c>
      <c r="AI401" s="47" t="n">
        <f aca="false">AH401-AH402</f>
        <v>0</v>
      </c>
      <c r="AJ401" s="47" t="n">
        <f aca="false">AI401-AI402</f>
        <v>0</v>
      </c>
      <c r="AK401" s="47" t="n">
        <f aca="false">AJ401-AJ402</f>
        <v>0</v>
      </c>
    </row>
    <row r="402" customFormat="false" ht="15" hidden="false" customHeight="false" outlineLevel="0" collapsed="false">
      <c r="A402" s="10" t="s">
        <v>576</v>
      </c>
      <c r="H402" s="47" t="n">
        <f aca="false">IF(1&lt;=Inputs!$B$44,MIN(H401,$B$399,1E+099),0)</f>
        <v>1.62770440272067</v>
      </c>
      <c r="I402" s="47" t="n">
        <f aca="false">IF(2&lt;=Inputs!$B$44,MIN(I401,$B$399,1E+099),0)</f>
        <v>1.62770440272067</v>
      </c>
      <c r="J402" s="47" t="n">
        <f aca="false">IF(3&lt;=Inputs!$B$44,MIN(J401,$B$399,1E+099),0)</f>
        <v>0.597086791837988</v>
      </c>
      <c r="K402" s="47" t="n">
        <f aca="false">IF(4&lt;=Inputs!$B$44,MIN(K401,$B$399,1E+099),0)</f>
        <v>0</v>
      </c>
      <c r="L402" s="47" t="n">
        <f aca="false">IF(5&lt;=Inputs!$B$44,MIN(L401,$B$399,1E+099),0)</f>
        <v>0</v>
      </c>
      <c r="M402" s="47" t="n">
        <f aca="false">IF(6&lt;=Inputs!$B$44,MIN(M401,$B$399,1E+099),0)</f>
        <v>0</v>
      </c>
      <c r="N402" s="47" t="n">
        <f aca="false">IF(7&lt;=Inputs!$B$44,MIN(N401,$B$399,1E+099),0)</f>
        <v>0</v>
      </c>
      <c r="O402" s="47" t="n">
        <f aca="false">IF(8&lt;=Inputs!$B$44,MIN(O401,$B$399,1E+099),0)</f>
        <v>0</v>
      </c>
      <c r="P402" s="47" t="n">
        <f aca="false">IF(9&lt;=Inputs!$B$44,MIN(P401,$B$399,1E+099),0)</f>
        <v>0</v>
      </c>
      <c r="Q402" s="47" t="n">
        <f aca="false">IF(10&lt;=Inputs!$B$44,MIN(Q401,$B$399,1E+099),0)</f>
        <v>0</v>
      </c>
      <c r="R402" s="47" t="n">
        <f aca="false">IF(11&lt;=Inputs!$B$44,MIN(R401,$B$399,1E+099),0)</f>
        <v>0</v>
      </c>
      <c r="S402" s="47" t="n">
        <f aca="false">IF(12&lt;=Inputs!$B$44,MIN(S401,$B$399,1E+099),0)</f>
        <v>0</v>
      </c>
      <c r="T402" s="47" t="n">
        <f aca="false">IF(13&lt;=Inputs!$B$44,MIN(T401,$B$399,1E+099),0)</f>
        <v>0</v>
      </c>
      <c r="U402" s="47" t="n">
        <f aca="false">IF(14&lt;=Inputs!$B$44,MIN(U401,$B$399,1E+099),0)</f>
        <v>0</v>
      </c>
      <c r="V402" s="47" t="n">
        <f aca="false">IF(15&lt;=Inputs!$B$44,MIN(V401,$B$399,1E+099),0)</f>
        <v>0</v>
      </c>
      <c r="W402" s="47" t="n">
        <f aca="false">IF(16&lt;=Inputs!$B$44,MIN(W401,$B$399,1E+099),0)</f>
        <v>0</v>
      </c>
      <c r="X402" s="47" t="n">
        <f aca="false">IF(17&lt;=Inputs!$B$44,MIN(X401,$B$399,1E+099),0)</f>
        <v>0</v>
      </c>
      <c r="Y402" s="47" t="n">
        <f aca="false">IF(18&lt;=Inputs!$B$44,MIN(Y401,$B$399,1E+099),0)</f>
        <v>0</v>
      </c>
      <c r="Z402" s="47" t="n">
        <f aca="false">IF(19&lt;=Inputs!$B$44,MIN(Z401,$B$399,1E+099),0)</f>
        <v>0</v>
      </c>
      <c r="AA402" s="47" t="n">
        <f aca="false">IF(20&lt;=Inputs!$B$44,MIN(AA401,$B$399,1E+099),0)</f>
        <v>0</v>
      </c>
      <c r="AB402" s="47" t="n">
        <f aca="false">IF(21&lt;=Inputs!$B$44,MIN(AB401,$B$399,1E+099),0)</f>
        <v>0</v>
      </c>
      <c r="AC402" s="47" t="n">
        <f aca="false">IF(22&lt;=Inputs!$B$44,MIN(AC401,$B$399,1E+099),0)</f>
        <v>0</v>
      </c>
      <c r="AD402" s="47" t="n">
        <f aca="false">IF(23&lt;=Inputs!$B$44,MIN(AD401,$B$399,1E+099),0)</f>
        <v>0</v>
      </c>
      <c r="AE402" s="47" t="n">
        <f aca="false">IF(24&lt;=Inputs!$B$44,MIN(AE401,$B$399,1E+099),0)</f>
        <v>0</v>
      </c>
      <c r="AF402" s="47" t="n">
        <f aca="false">IF(25&lt;=Inputs!$B$44,MIN(AF401,$B$399,1E+099),0)</f>
        <v>0</v>
      </c>
      <c r="AG402" s="47" t="n">
        <f aca="false">IF(26&lt;=Inputs!$B$44,MIN(AG401,$B$399,1E+099),0)</f>
        <v>0</v>
      </c>
      <c r="AH402" s="47" t="n">
        <f aca="false">IF(27&lt;=Inputs!$B$44,MIN(AH401,$B$399,1E+099),0)</f>
        <v>0</v>
      </c>
      <c r="AI402" s="47" t="n">
        <f aca="false">IF(28&lt;=Inputs!$B$44,MIN(AI401,$B$399,1E+099),0)</f>
        <v>0</v>
      </c>
      <c r="AJ402" s="47" t="n">
        <f aca="false">IF(29&lt;=Inputs!$B$44,MIN(AJ401,$B$399,1E+099),0)</f>
        <v>0</v>
      </c>
      <c r="AK402" s="47" t="n">
        <f aca="false">IF(30&lt;=Inputs!$B$44,MIN(AK401,$B$399,1E+099),0)</f>
        <v>0</v>
      </c>
    </row>
    <row r="403" customFormat="false" ht="15" hidden="false" customHeight="false" outlineLevel="0" collapsed="false">
      <c r="A403" s="10" t="s">
        <v>577</v>
      </c>
      <c r="G403" s="47" t="n">
        <f aca="false">$F$353</f>
        <v>4.11674474746666</v>
      </c>
      <c r="H403" s="47" t="n">
        <f aca="false">G403</f>
        <v>4.11674474746666</v>
      </c>
      <c r="I403" s="47" t="n">
        <f aca="false">H403-H404</f>
        <v>4.11674474746666</v>
      </c>
      <c r="J403" s="47" t="n">
        <f aca="false">I403-I404</f>
        <v>4.11674474746666</v>
      </c>
      <c r="K403" s="47" t="n">
        <f aca="false">J403-J404</f>
        <v>3.08612713658397</v>
      </c>
      <c r="L403" s="47" t="n">
        <f aca="false">K403-K404</f>
        <v>1.4584227338633</v>
      </c>
      <c r="M403" s="47" t="n">
        <f aca="false">L403-L404</f>
        <v>0</v>
      </c>
      <c r="N403" s="47" t="n">
        <f aca="false">M403-M404</f>
        <v>0</v>
      </c>
      <c r="O403" s="47" t="n">
        <f aca="false">N403-N404</f>
        <v>0</v>
      </c>
      <c r="P403" s="47" t="n">
        <f aca="false">O403-O404</f>
        <v>0</v>
      </c>
      <c r="Q403" s="47" t="n">
        <f aca="false">P403-P404</f>
        <v>0</v>
      </c>
      <c r="R403" s="47" t="n">
        <f aca="false">Q403-Q404</f>
        <v>0</v>
      </c>
      <c r="S403" s="47" t="n">
        <f aca="false">R403-R404</f>
        <v>0</v>
      </c>
      <c r="T403" s="47" t="n">
        <f aca="false">S403-S404</f>
        <v>0</v>
      </c>
      <c r="U403" s="47" t="n">
        <f aca="false">T403-T404</f>
        <v>0</v>
      </c>
      <c r="V403" s="47" t="n">
        <f aca="false">U403-U404</f>
        <v>0</v>
      </c>
      <c r="W403" s="47" t="n">
        <f aca="false">V403-V404</f>
        <v>0</v>
      </c>
      <c r="X403" s="47" t="n">
        <f aca="false">W403-W404</f>
        <v>0</v>
      </c>
      <c r="Y403" s="47" t="n">
        <f aca="false">X403-X404</f>
        <v>0</v>
      </c>
      <c r="Z403" s="47" t="n">
        <f aca="false">Y403-Y404</f>
        <v>0</v>
      </c>
      <c r="AA403" s="47" t="n">
        <f aca="false">Z403-Z404</f>
        <v>0</v>
      </c>
      <c r="AB403" s="47" t="n">
        <f aca="false">AA403-AA404</f>
        <v>0</v>
      </c>
      <c r="AC403" s="47" t="n">
        <f aca="false">AB403-AB404</f>
        <v>0</v>
      </c>
      <c r="AD403" s="47" t="n">
        <f aca="false">AC403-AC404</f>
        <v>0</v>
      </c>
      <c r="AE403" s="47" t="n">
        <f aca="false">AD403-AD404</f>
        <v>0</v>
      </c>
      <c r="AF403" s="47" t="n">
        <f aca="false">AE403-AE404</f>
        <v>0</v>
      </c>
      <c r="AG403" s="47" t="n">
        <f aca="false">AF403-AF404</f>
        <v>0</v>
      </c>
      <c r="AH403" s="47" t="n">
        <f aca="false">AG403-AG404</f>
        <v>0</v>
      </c>
      <c r="AI403" s="47" t="n">
        <f aca="false">AH403-AH404</f>
        <v>0</v>
      </c>
      <c r="AJ403" s="47" t="n">
        <f aca="false">AI403-AI404</f>
        <v>0</v>
      </c>
      <c r="AK403" s="47" t="n">
        <f aca="false">AJ403-AJ404</f>
        <v>0</v>
      </c>
    </row>
    <row r="404" customFormat="false" ht="15" hidden="false" customHeight="false" outlineLevel="0" collapsed="false">
      <c r="A404" s="10" t="s">
        <v>576</v>
      </c>
      <c r="H404" s="47" t="n">
        <f aca="false">IF(1&lt;=Inputs!$B$44,MIN(H403,$B$399-H402),0)</f>
        <v>0</v>
      </c>
      <c r="I404" s="47" t="n">
        <f aca="false">IF(2&lt;=Inputs!$B$44,MIN(I403,$B$399-I402),0)</f>
        <v>0</v>
      </c>
      <c r="J404" s="47" t="n">
        <f aca="false">IF(3&lt;=Inputs!$B$44,MIN(J403,$B$399-J402),0)</f>
        <v>1.03061761088268</v>
      </c>
      <c r="K404" s="47" t="n">
        <f aca="false">IF(4&lt;=Inputs!$B$44,MIN(K403,$B$399-K402),0)</f>
        <v>1.62770440272067</v>
      </c>
      <c r="L404" s="47" t="n">
        <f aca="false">IF(5&lt;=Inputs!$B$44,MIN(L403,$B$399-L402),0)</f>
        <v>1.4584227338633</v>
      </c>
      <c r="M404" s="47" t="n">
        <f aca="false">IF(6&lt;=Inputs!$B$44,MIN(M403,$B$399-M402),0)</f>
        <v>0</v>
      </c>
      <c r="N404" s="47" t="n">
        <f aca="false">IF(7&lt;=Inputs!$B$44,MIN(N403,$B$399-N402),0)</f>
        <v>0</v>
      </c>
      <c r="O404" s="47" t="n">
        <f aca="false">IF(8&lt;=Inputs!$B$44,MIN(O403,$B$399-O402),0)</f>
        <v>0</v>
      </c>
      <c r="P404" s="47" t="n">
        <f aca="false">IF(9&lt;=Inputs!$B$44,MIN(P403,$B$399-P402),0)</f>
        <v>0</v>
      </c>
      <c r="Q404" s="47" t="n">
        <f aca="false">IF(10&lt;=Inputs!$B$44,MIN(Q403,$B$399-Q402),0)</f>
        <v>0</v>
      </c>
      <c r="R404" s="47" t="n">
        <f aca="false">IF(11&lt;=Inputs!$B$44,MIN(R403,$B$399-R402),0)</f>
        <v>0</v>
      </c>
      <c r="S404" s="47" t="n">
        <f aca="false">IF(12&lt;=Inputs!$B$44,MIN(S403,$B$399-S402),0)</f>
        <v>0</v>
      </c>
      <c r="T404" s="47" t="n">
        <f aca="false">IF(13&lt;=Inputs!$B$44,MIN(T403,$B$399-T402),0)</f>
        <v>0</v>
      </c>
      <c r="U404" s="47" t="n">
        <f aca="false">IF(14&lt;=Inputs!$B$44,MIN(U403,$B$399-U402),0)</f>
        <v>0</v>
      </c>
      <c r="V404" s="47" t="n">
        <f aca="false">IF(15&lt;=Inputs!$B$44,MIN(V403,$B$399-V402),0)</f>
        <v>0</v>
      </c>
      <c r="W404" s="47" t="n">
        <f aca="false">IF(16&lt;=Inputs!$B$44,MIN(W403,$B$399-W402),0)</f>
        <v>0</v>
      </c>
      <c r="X404" s="47" t="n">
        <f aca="false">IF(17&lt;=Inputs!$B$44,MIN(X403,$B$399-X402),0)</f>
        <v>0</v>
      </c>
      <c r="Y404" s="47" t="n">
        <f aca="false">IF(18&lt;=Inputs!$B$44,MIN(Y403,$B$399-Y402),0)</f>
        <v>0</v>
      </c>
      <c r="Z404" s="47" t="n">
        <f aca="false">IF(19&lt;=Inputs!$B$44,MIN(Z403,$B$399-Z402),0)</f>
        <v>0</v>
      </c>
      <c r="AA404" s="47" t="n">
        <f aca="false">IF(20&lt;=Inputs!$B$44,MIN(AA403,$B$399-AA402),0)</f>
        <v>0</v>
      </c>
      <c r="AB404" s="47" t="n">
        <f aca="false">IF(21&lt;=Inputs!$B$44,MIN(AB403,$B$399-AB402),0)</f>
        <v>0</v>
      </c>
      <c r="AC404" s="47" t="n">
        <f aca="false">IF(22&lt;=Inputs!$B$44,MIN(AC403,$B$399-AC402),0)</f>
        <v>0</v>
      </c>
      <c r="AD404" s="47" t="n">
        <f aca="false">IF(23&lt;=Inputs!$B$44,MIN(AD403,$B$399-AD402),0)</f>
        <v>0</v>
      </c>
      <c r="AE404" s="47" t="n">
        <f aca="false">IF(24&lt;=Inputs!$B$44,MIN(AE403,$B$399-AE402),0)</f>
        <v>0</v>
      </c>
      <c r="AF404" s="47" t="n">
        <f aca="false">IF(25&lt;=Inputs!$B$44,MIN(AF403,$B$399-AF402),0)</f>
        <v>0</v>
      </c>
      <c r="AG404" s="47" t="n">
        <f aca="false">IF(26&lt;=Inputs!$B$44,MIN(AG403,$B$399-AG402),0)</f>
        <v>0</v>
      </c>
      <c r="AH404" s="47" t="n">
        <f aca="false">IF(27&lt;=Inputs!$B$44,MIN(AH403,$B$399-AH402),0)</f>
        <v>0</v>
      </c>
      <c r="AI404" s="47" t="n">
        <f aca="false">IF(28&lt;=Inputs!$B$44,MIN(AI403,$B$399-AI402),0)</f>
        <v>0</v>
      </c>
      <c r="AJ404" s="47" t="n">
        <f aca="false">IF(29&lt;=Inputs!$B$44,MIN(AJ403,$B$399-AJ402),0)</f>
        <v>0</v>
      </c>
      <c r="AK404" s="47" t="n">
        <f aca="false">IF(30&lt;=Inputs!$B$44,MIN(AK403,$B$399-AK402),0)</f>
        <v>0</v>
      </c>
    </row>
    <row r="405" customFormat="false" ht="15" hidden="false" customHeight="false" outlineLevel="0" collapsed="false">
      <c r="A405" s="10" t="s">
        <v>578</v>
      </c>
      <c r="H405" s="47" t="n">
        <f aca="false">($B$399-H402-H404)*Inputs!$B$34</f>
        <v>0</v>
      </c>
      <c r="I405" s="47" t="n">
        <f aca="false">($B$399-I402-I404)*Inputs!$B$34</f>
        <v>0</v>
      </c>
      <c r="J405" s="47" t="n">
        <f aca="false">($B$399-J402-J404)*Inputs!$B$34</f>
        <v>0</v>
      </c>
      <c r="K405" s="47" t="n">
        <f aca="false">($B$399-K402-K404)*Inputs!$B$34</f>
        <v>0</v>
      </c>
      <c r="L405" s="47" t="n">
        <f aca="false">($B$399-L402-L404)*Inputs!$B$34</f>
        <v>0.00677126675429467</v>
      </c>
      <c r="M405" s="47" t="n">
        <f aca="false">($B$399-M402-M404)*Inputs!$B$34</f>
        <v>0.0651081761088268</v>
      </c>
      <c r="N405" s="47" t="n">
        <f aca="false">($B$399-N402-N404)*Inputs!$B$34</f>
        <v>0.0651081761088268</v>
      </c>
      <c r="O405" s="47" t="n">
        <f aca="false">($B$399-O402-O404)*Inputs!$B$34</f>
        <v>0.0651081761088268</v>
      </c>
      <c r="P405" s="47" t="n">
        <f aca="false">($B$399-P402-P404)*Inputs!$B$34</f>
        <v>0.0651081761088268</v>
      </c>
      <c r="Q405" s="47" t="n">
        <f aca="false">($B$399-Q402-Q404)*Inputs!$B$34</f>
        <v>0.0651081761088268</v>
      </c>
      <c r="R405" s="47" t="n">
        <f aca="false">($B$399-R402-R404)*Inputs!$B$34</f>
        <v>0.0651081761088268</v>
      </c>
      <c r="S405" s="47" t="n">
        <f aca="false">($B$399-S402-S404)*Inputs!$B$34</f>
        <v>0.0651081761088268</v>
      </c>
      <c r="T405" s="47" t="n">
        <f aca="false">($B$399-T402-T404)*Inputs!$B$34</f>
        <v>0.0651081761088268</v>
      </c>
      <c r="U405" s="47" t="n">
        <f aca="false">($B$399-U402-U404)*Inputs!$B$34</f>
        <v>0.0651081761088268</v>
      </c>
      <c r="V405" s="47" t="n">
        <f aca="false">($B$399-V402-V404)*Inputs!$B$34</f>
        <v>0.0651081761088268</v>
      </c>
      <c r="W405" s="47" t="n">
        <f aca="false">($B$399-W402-W404)*Inputs!$B$34</f>
        <v>0.0651081761088268</v>
      </c>
      <c r="X405" s="47" t="n">
        <f aca="false">($B$399-X402-X404)*Inputs!$B$34</f>
        <v>0.0651081761088268</v>
      </c>
      <c r="Y405" s="47" t="n">
        <f aca="false">($B$399-Y402-Y404)*Inputs!$B$34</f>
        <v>0.0651081761088268</v>
      </c>
      <c r="Z405" s="47" t="n">
        <f aca="false">($B$399-Z402-Z404)*Inputs!$B$34</f>
        <v>0.0651081761088268</v>
      </c>
      <c r="AA405" s="47" t="n">
        <f aca="false">($B$399-AA402-AA404)*Inputs!$B$34</f>
        <v>0.0651081761088268</v>
      </c>
      <c r="AB405" s="47" t="n">
        <f aca="false">($B$399-AB402-AB404)*Inputs!$B$34</f>
        <v>0.0651081761088268</v>
      </c>
      <c r="AC405" s="47" t="n">
        <f aca="false">($B$399-AC402-AC404)*Inputs!$B$34</f>
        <v>0.0651081761088268</v>
      </c>
      <c r="AD405" s="47" t="n">
        <f aca="false">($B$399-AD402-AD404)*Inputs!$B$34</f>
        <v>0.0651081761088268</v>
      </c>
      <c r="AE405" s="47" t="n">
        <f aca="false">($B$399-AE402-AE404)*Inputs!$B$34</f>
        <v>0.0651081761088268</v>
      </c>
      <c r="AF405" s="47" t="n">
        <f aca="false">($B$399-AF402-AF404)*Inputs!$B$34</f>
        <v>0.0651081761088268</v>
      </c>
      <c r="AG405" s="47" t="n">
        <f aca="false">($B$399-AG402-AG404)*Inputs!$B$34</f>
        <v>0.0651081761088268</v>
      </c>
      <c r="AH405" s="47" t="n">
        <f aca="false">($B$399-AH402-AH404)*Inputs!$B$34</f>
        <v>0.0651081761088268</v>
      </c>
      <c r="AI405" s="47" t="n">
        <f aca="false">($B$399-AI402-AI404)*Inputs!$B$34</f>
        <v>0.0651081761088268</v>
      </c>
      <c r="AJ405" s="47" t="n">
        <f aca="false">($B$399-AJ402-AJ404)*Inputs!$B$34</f>
        <v>0.0651081761088268</v>
      </c>
      <c r="AK405" s="47" t="n">
        <f aca="false">($B$399-AK402-AK404)*Inputs!$B$34</f>
        <v>0.0651081761088268</v>
      </c>
    </row>
    <row r="406" customFormat="false" ht="15" hidden="false" customHeight="false" outlineLevel="0" collapsed="false">
      <c r="A406" s="10" t="s">
        <v>579</v>
      </c>
      <c r="H406" s="47" t="n">
        <f aca="false">$B$399-H405</f>
        <v>1.62770440272067</v>
      </c>
      <c r="I406" s="47" t="n">
        <f aca="false">$B$399-I405</f>
        <v>1.62770440272067</v>
      </c>
      <c r="J406" s="47" t="n">
        <f aca="false">$B$399-J405</f>
        <v>1.62770440272067</v>
      </c>
      <c r="K406" s="47" t="n">
        <f aca="false">$B$399-K405</f>
        <v>1.62770440272067</v>
      </c>
      <c r="L406" s="47" t="n">
        <f aca="false">$B$399-L405</f>
        <v>1.62093313596638</v>
      </c>
      <c r="M406" s="47" t="n">
        <f aca="false">$B$399-M405</f>
        <v>1.56259622661184</v>
      </c>
      <c r="N406" s="47" t="n">
        <f aca="false">$B$399-N405</f>
        <v>1.56259622661184</v>
      </c>
      <c r="O406" s="47" t="n">
        <f aca="false">$B$399-O405</f>
        <v>1.56259622661184</v>
      </c>
      <c r="P406" s="47" t="n">
        <f aca="false">$B$399-P405</f>
        <v>1.56259622661184</v>
      </c>
      <c r="Q406" s="47" t="n">
        <f aca="false">$B$399-Q405</f>
        <v>1.56259622661184</v>
      </c>
      <c r="R406" s="47" t="n">
        <f aca="false">$B$399-R405</f>
        <v>1.56259622661184</v>
      </c>
      <c r="S406" s="47" t="n">
        <f aca="false">$B$399-S405</f>
        <v>1.56259622661184</v>
      </c>
      <c r="T406" s="47" t="n">
        <f aca="false">$B$399-T405</f>
        <v>1.56259622661184</v>
      </c>
      <c r="U406" s="47" t="n">
        <f aca="false">$B$399-U405</f>
        <v>1.56259622661184</v>
      </c>
      <c r="V406" s="47" t="n">
        <f aca="false">$B$399-V405</f>
        <v>1.56259622661184</v>
      </c>
      <c r="W406" s="47" t="n">
        <f aca="false">$B$399-W405</f>
        <v>1.56259622661184</v>
      </c>
      <c r="X406" s="47" t="n">
        <f aca="false">$B$399-X405</f>
        <v>1.56259622661184</v>
      </c>
      <c r="Y406" s="47" t="n">
        <f aca="false">$B$399-Y405</f>
        <v>1.56259622661184</v>
      </c>
      <c r="Z406" s="47" t="n">
        <f aca="false">$B$399-Z405</f>
        <v>1.56259622661184</v>
      </c>
      <c r="AA406" s="47" t="n">
        <f aca="false">$B$399-AA405</f>
        <v>1.56259622661184</v>
      </c>
      <c r="AB406" s="47" t="n">
        <f aca="false">$B$399-AB405</f>
        <v>1.56259622661184</v>
      </c>
      <c r="AC406" s="47" t="n">
        <f aca="false">$B$399-AC405</f>
        <v>1.56259622661184</v>
      </c>
      <c r="AD406" s="47" t="n">
        <f aca="false">$B$399-AD405</f>
        <v>1.56259622661184</v>
      </c>
      <c r="AE406" s="47" t="n">
        <f aca="false">$B$399-AE405</f>
        <v>1.56259622661184</v>
      </c>
      <c r="AF406" s="47" t="n">
        <f aca="false">$B$399-AF405</f>
        <v>1.56259622661184</v>
      </c>
      <c r="AG406" s="47" t="n">
        <f aca="false">$B$399-AG405</f>
        <v>1.56259622661184</v>
      </c>
      <c r="AH406" s="47" t="n">
        <f aca="false">$B$399-AH405</f>
        <v>1.56259622661184</v>
      </c>
      <c r="AI406" s="47" t="n">
        <f aca="false">$B$399-AI405</f>
        <v>1.56259622661184</v>
      </c>
      <c r="AJ406" s="47" t="n">
        <f aca="false">$B$399-AJ405</f>
        <v>1.56259622661184</v>
      </c>
      <c r="AK406" s="47" t="n">
        <f aca="false">$B$399-AK405</f>
        <v>1.56259622661184</v>
      </c>
    </row>
    <row r="407" customFormat="false" ht="15" hidden="false" customHeight="false" outlineLevel="0" collapsed="false">
      <c r="A407" s="10" t="s">
        <v>580</v>
      </c>
      <c r="G407" s="47" t="n">
        <f aca="false">$F$358</f>
        <v>4.17803647782346</v>
      </c>
      <c r="H407" s="47" t="n">
        <f aca="false">G407</f>
        <v>4.17803647782346</v>
      </c>
      <c r="I407" s="47" t="n">
        <f aca="false">H407-H408</f>
        <v>2.87587295564693</v>
      </c>
      <c r="J407" s="47" t="n">
        <f aca="false">I407-I408</f>
        <v>1.57370943347039</v>
      </c>
      <c r="K407" s="47" t="n">
        <f aca="false">J407-J408</f>
        <v>0.271545911293853</v>
      </c>
      <c r="L407" s="47" t="n">
        <f aca="false">K407-K408</f>
        <v>0</v>
      </c>
      <c r="M407" s="47" t="n">
        <f aca="false">L407-L408</f>
        <v>0</v>
      </c>
      <c r="N407" s="47" t="n">
        <f aca="false">M407-M408</f>
        <v>0</v>
      </c>
      <c r="O407" s="47" t="n">
        <f aca="false">N407-N408</f>
        <v>0</v>
      </c>
      <c r="P407" s="47" t="n">
        <f aca="false">O407-O408</f>
        <v>0</v>
      </c>
      <c r="Q407" s="47" t="n">
        <f aca="false">P407-P408</f>
        <v>0</v>
      </c>
      <c r="R407" s="47" t="n">
        <f aca="false">Q407-Q408</f>
        <v>0</v>
      </c>
      <c r="S407" s="47" t="n">
        <f aca="false">R407-R408</f>
        <v>0</v>
      </c>
      <c r="T407" s="47" t="n">
        <f aca="false">S407-S408</f>
        <v>0</v>
      </c>
      <c r="U407" s="47" t="n">
        <f aca="false">T407-T408</f>
        <v>0</v>
      </c>
      <c r="V407" s="47" t="n">
        <f aca="false">U407-U408</f>
        <v>0</v>
      </c>
      <c r="W407" s="47" t="n">
        <f aca="false">V407-V408</f>
        <v>0</v>
      </c>
      <c r="X407" s="47" t="n">
        <f aca="false">W407-W408</f>
        <v>0</v>
      </c>
      <c r="Y407" s="47" t="n">
        <f aca="false">X407-X408</f>
        <v>0</v>
      </c>
      <c r="Z407" s="47" t="n">
        <f aca="false">Y407-Y408</f>
        <v>0</v>
      </c>
      <c r="AA407" s="47" t="n">
        <f aca="false">Z407-Z408</f>
        <v>0</v>
      </c>
      <c r="AB407" s="47" t="n">
        <f aca="false">AA407-AA408</f>
        <v>0</v>
      </c>
      <c r="AC407" s="47" t="n">
        <f aca="false">AB407-AB408</f>
        <v>0</v>
      </c>
      <c r="AD407" s="47" t="n">
        <f aca="false">AC407-AC408</f>
        <v>0</v>
      </c>
      <c r="AE407" s="47" t="n">
        <f aca="false">AD407-AD408</f>
        <v>0</v>
      </c>
      <c r="AF407" s="47" t="n">
        <f aca="false">AE407-AE408</f>
        <v>0</v>
      </c>
      <c r="AG407" s="47" t="n">
        <f aca="false">AF407-AF408</f>
        <v>0</v>
      </c>
      <c r="AH407" s="47" t="n">
        <f aca="false">AG407-AG408</f>
        <v>0</v>
      </c>
      <c r="AI407" s="47" t="n">
        <f aca="false">AH407-AH408</f>
        <v>0</v>
      </c>
      <c r="AJ407" s="47" t="n">
        <f aca="false">AI407-AI408</f>
        <v>0</v>
      </c>
      <c r="AK407" s="47" t="n">
        <f aca="false">AJ407-AJ408</f>
        <v>0</v>
      </c>
    </row>
    <row r="408" customFormat="false" ht="15" hidden="false" customHeight="false" outlineLevel="0" collapsed="false">
      <c r="A408" s="10" t="s">
        <v>581</v>
      </c>
      <c r="H408" s="47" t="n">
        <f aca="false">MIN(H407,Inputs!$B$35*H406,1E+099)</f>
        <v>1.30216352217654</v>
      </c>
      <c r="I408" s="47" t="n">
        <f aca="false">MIN(I407,Inputs!$B$35*I406,1E+099)</f>
        <v>1.30216352217654</v>
      </c>
      <c r="J408" s="47" t="n">
        <f aca="false">MIN(J407,Inputs!$B$35*J406,1E+099)</f>
        <v>1.30216352217654</v>
      </c>
      <c r="K408" s="47" t="n">
        <f aca="false">MIN(K407,Inputs!$B$35*K406,1E+099)</f>
        <v>0.271545911293853</v>
      </c>
      <c r="L408" s="47" t="n">
        <f aca="false">MIN(L407,Inputs!$B$35*L406,1E+099)</f>
        <v>0</v>
      </c>
      <c r="M408" s="47" t="n">
        <f aca="false">MIN(M407,Inputs!$B$35*M406,1E+099)</f>
        <v>0</v>
      </c>
      <c r="N408" s="47" t="n">
        <f aca="false">MIN(N407,Inputs!$B$35*N406,1E+099)</f>
        <v>0</v>
      </c>
      <c r="O408" s="47" t="n">
        <f aca="false">MIN(O407,Inputs!$B$35*O406,1E+099)</f>
        <v>0</v>
      </c>
      <c r="P408" s="47" t="n">
        <f aca="false">MIN(P407,Inputs!$B$35*P406,1E+099)</f>
        <v>0</v>
      </c>
      <c r="Q408" s="47" t="n">
        <f aca="false">MIN(Q407,Inputs!$B$35*Q406,1E+099)</f>
        <v>0</v>
      </c>
      <c r="R408" s="47" t="n">
        <f aca="false">MIN(R407,Inputs!$B$35*R406,1E+099)</f>
        <v>0</v>
      </c>
      <c r="S408" s="47" t="n">
        <f aca="false">MIN(S407,Inputs!$B$35*S406,1E+099)</f>
        <v>0</v>
      </c>
      <c r="T408" s="47" t="n">
        <f aca="false">MIN(T407,Inputs!$B$35*T406,1E+099)</f>
        <v>0</v>
      </c>
      <c r="U408" s="47" t="n">
        <f aca="false">MIN(U407,Inputs!$B$35*U406,1E+099)</f>
        <v>0</v>
      </c>
      <c r="V408" s="47" t="n">
        <f aca="false">MIN(V407,Inputs!$B$35*V406,1E+099)</f>
        <v>0</v>
      </c>
      <c r="W408" s="47" t="n">
        <f aca="false">MIN(W407,Inputs!$B$35*W406,1E+099)</f>
        <v>0</v>
      </c>
      <c r="X408" s="47" t="n">
        <f aca="false">MIN(X407,Inputs!$B$35*X406,1E+099)</f>
        <v>0</v>
      </c>
      <c r="Y408" s="47" t="n">
        <f aca="false">MIN(Y407,Inputs!$B$35*Y406,1E+099)</f>
        <v>0</v>
      </c>
      <c r="Z408" s="47" t="n">
        <f aca="false">MIN(Z407,Inputs!$B$35*Z406,1E+099)</f>
        <v>0</v>
      </c>
      <c r="AA408" s="47" t="n">
        <f aca="false">MIN(AA407,Inputs!$B$35*AA406,1E+099)</f>
        <v>0</v>
      </c>
      <c r="AB408" s="47" t="n">
        <f aca="false">MIN(AB407,Inputs!$B$35*AB406,1E+099)</f>
        <v>0</v>
      </c>
      <c r="AC408" s="47" t="n">
        <f aca="false">MIN(AC407,Inputs!$B$35*AC406,1E+099)</f>
        <v>0</v>
      </c>
      <c r="AD408" s="47" t="n">
        <f aca="false">MIN(AD407,Inputs!$B$35*AD406,1E+099)</f>
        <v>0</v>
      </c>
      <c r="AE408" s="47" t="n">
        <f aca="false">MIN(AE407,Inputs!$B$35*AE406,1E+099)</f>
        <v>0</v>
      </c>
      <c r="AF408" s="47" t="n">
        <f aca="false">MIN(AF407,Inputs!$B$35*AF406,1E+099)</f>
        <v>0</v>
      </c>
      <c r="AG408" s="47" t="n">
        <f aca="false">MIN(AG407,Inputs!$B$35*AG406,1E+099)</f>
        <v>0</v>
      </c>
      <c r="AH408" s="47" t="n">
        <f aca="false">MIN(AH407,Inputs!$B$35*AH406,1E+099)</f>
        <v>0</v>
      </c>
      <c r="AI408" s="47" t="n">
        <f aca="false">MIN(AI407,Inputs!$B$35*AI406,1E+099)</f>
        <v>0</v>
      </c>
      <c r="AJ408" s="47" t="n">
        <f aca="false">MIN(AJ407,Inputs!$B$35*AJ406,1E+099)</f>
        <v>0</v>
      </c>
      <c r="AK408" s="47" t="n">
        <f aca="false">MIN(AK407,Inputs!$B$35*AK406,1E+099)</f>
        <v>0</v>
      </c>
    </row>
    <row r="409" customFormat="false" ht="15" hidden="false" customHeight="false" outlineLevel="0" collapsed="false">
      <c r="A409" s="10" t="s">
        <v>582</v>
      </c>
      <c r="G409" s="47" t="n">
        <f aca="false">$F$359</f>
        <v>4.11674474746666</v>
      </c>
      <c r="H409" s="47" t="n">
        <f aca="false">G409</f>
        <v>4.11674474746666</v>
      </c>
      <c r="I409" s="47" t="n">
        <f aca="false">H409-H410</f>
        <v>4.11674474746666</v>
      </c>
      <c r="J409" s="47" t="n">
        <f aca="false">I409-I410</f>
        <v>4.11674474746666</v>
      </c>
      <c r="K409" s="47" t="n">
        <f aca="false">J409-J410</f>
        <v>4.11674474746666</v>
      </c>
      <c r="L409" s="47" t="n">
        <f aca="false">K409-K410</f>
        <v>3.08612713658397</v>
      </c>
      <c r="M409" s="47" t="n">
        <f aca="false">L409-L410</f>
        <v>1.78938062781087</v>
      </c>
      <c r="N409" s="47" t="n">
        <f aca="false">M409-M410</f>
        <v>0.539303646521398</v>
      </c>
      <c r="O409" s="47" t="n">
        <f aca="false">N409-N410</f>
        <v>0</v>
      </c>
      <c r="P409" s="47" t="n">
        <f aca="false">O409-O410</f>
        <v>0</v>
      </c>
      <c r="Q409" s="47" t="n">
        <f aca="false">P409-P410</f>
        <v>0</v>
      </c>
      <c r="R409" s="47" t="n">
        <f aca="false">Q409-Q410</f>
        <v>0</v>
      </c>
      <c r="S409" s="47" t="n">
        <f aca="false">R409-R410</f>
        <v>0</v>
      </c>
      <c r="T409" s="47" t="n">
        <f aca="false">S409-S410</f>
        <v>0</v>
      </c>
      <c r="U409" s="47" t="n">
        <f aca="false">T409-T410</f>
        <v>0</v>
      </c>
      <c r="V409" s="47" t="n">
        <f aca="false">U409-U410</f>
        <v>0</v>
      </c>
      <c r="W409" s="47" t="n">
        <f aca="false">V409-V410</f>
        <v>0</v>
      </c>
      <c r="X409" s="47" t="n">
        <f aca="false">W409-W410</f>
        <v>0</v>
      </c>
      <c r="Y409" s="47" t="n">
        <f aca="false">X409-X410</f>
        <v>0</v>
      </c>
      <c r="Z409" s="47" t="n">
        <f aca="false">Y409-Y410</f>
        <v>0</v>
      </c>
      <c r="AA409" s="47" t="n">
        <f aca="false">Z409-Z410</f>
        <v>0</v>
      </c>
      <c r="AB409" s="47" t="n">
        <f aca="false">AA409-AA410</f>
        <v>0</v>
      </c>
      <c r="AC409" s="47" t="n">
        <f aca="false">AB409-AB410</f>
        <v>0</v>
      </c>
      <c r="AD409" s="47" t="n">
        <f aca="false">AC409-AC410</f>
        <v>0</v>
      </c>
      <c r="AE409" s="47" t="n">
        <f aca="false">AD409-AD410</f>
        <v>0</v>
      </c>
      <c r="AF409" s="47" t="n">
        <f aca="false">AE409-AE410</f>
        <v>0</v>
      </c>
      <c r="AG409" s="47" t="n">
        <f aca="false">AF409-AF410</f>
        <v>0</v>
      </c>
      <c r="AH409" s="47" t="n">
        <f aca="false">AG409-AG410</f>
        <v>0</v>
      </c>
      <c r="AI409" s="47" t="n">
        <f aca="false">AH409-AH410</f>
        <v>0</v>
      </c>
      <c r="AJ409" s="47" t="n">
        <f aca="false">AI409-AI410</f>
        <v>0</v>
      </c>
      <c r="AK409" s="47" t="n">
        <f aca="false">AJ409-AJ410</f>
        <v>0</v>
      </c>
    </row>
    <row r="410" customFormat="false" ht="15" hidden="false" customHeight="false" outlineLevel="0" collapsed="false">
      <c r="A410" s="10" t="s">
        <v>576</v>
      </c>
      <c r="H410" s="47" t="n">
        <f aca="false">MIN(H409,Inputs!$B$35*H406-H408)</f>
        <v>0</v>
      </c>
      <c r="I410" s="47" t="n">
        <f aca="false">MIN(I409,Inputs!$B$35*I406-I408)</f>
        <v>0</v>
      </c>
      <c r="J410" s="47" t="n">
        <f aca="false">MIN(J409,Inputs!$B$35*J406-J408)</f>
        <v>0</v>
      </c>
      <c r="K410" s="47" t="n">
        <f aca="false">MIN(K409,Inputs!$B$35*K406-K408)</f>
        <v>1.03061761088268</v>
      </c>
      <c r="L410" s="47" t="n">
        <f aca="false">MIN(L409,Inputs!$B$35*L406-L408)</f>
        <v>1.2967465087731</v>
      </c>
      <c r="M410" s="47" t="n">
        <f aca="false">MIN(M409,Inputs!$B$35*M406-M408)</f>
        <v>1.25007698128948</v>
      </c>
      <c r="N410" s="47" t="n">
        <f aca="false">MIN(N409,Inputs!$B$35*N406-N408)</f>
        <v>0.539303646521398</v>
      </c>
      <c r="O410" s="47" t="n">
        <f aca="false">MIN(O409,Inputs!$B$35*O406-O408)</f>
        <v>0</v>
      </c>
      <c r="P410" s="47" t="n">
        <f aca="false">MIN(P409,Inputs!$B$35*P406-P408)</f>
        <v>0</v>
      </c>
      <c r="Q410" s="47" t="n">
        <f aca="false">MIN(Q409,Inputs!$B$35*Q406-Q408)</f>
        <v>0</v>
      </c>
      <c r="R410" s="47" t="n">
        <f aca="false">MIN(R409,Inputs!$B$35*R406-R408)</f>
        <v>0</v>
      </c>
      <c r="S410" s="47" t="n">
        <f aca="false">MIN(S409,Inputs!$B$35*S406-S408)</f>
        <v>0</v>
      </c>
      <c r="T410" s="47" t="n">
        <f aca="false">MIN(T409,Inputs!$B$35*T406-T408)</f>
        <v>0</v>
      </c>
      <c r="U410" s="47" t="n">
        <f aca="false">MIN(U409,Inputs!$B$35*U406-U408)</f>
        <v>0</v>
      </c>
      <c r="V410" s="47" t="n">
        <f aca="false">MIN(V409,Inputs!$B$35*V406-V408)</f>
        <v>0</v>
      </c>
      <c r="W410" s="47" t="n">
        <f aca="false">MIN(W409,Inputs!$B$35*W406-W408)</f>
        <v>0</v>
      </c>
      <c r="X410" s="47" t="n">
        <f aca="false">MIN(X409,Inputs!$B$35*X406-X408)</f>
        <v>0</v>
      </c>
      <c r="Y410" s="47" t="n">
        <f aca="false">MIN(Y409,Inputs!$B$35*Y406-Y408)</f>
        <v>0</v>
      </c>
      <c r="Z410" s="47" t="n">
        <f aca="false">MIN(Z409,Inputs!$B$35*Z406-Z408)</f>
        <v>0</v>
      </c>
      <c r="AA410" s="47" t="n">
        <f aca="false">MIN(AA409,Inputs!$B$35*AA406-AA408)</f>
        <v>0</v>
      </c>
      <c r="AB410" s="47" t="n">
        <f aca="false">MIN(AB409,Inputs!$B$35*AB406-AB408)</f>
        <v>0</v>
      </c>
      <c r="AC410" s="47" t="n">
        <f aca="false">MIN(AC409,Inputs!$B$35*AC406-AC408)</f>
        <v>0</v>
      </c>
      <c r="AD410" s="47" t="n">
        <f aca="false">MIN(AD409,Inputs!$B$35*AD406-AD408)</f>
        <v>0</v>
      </c>
      <c r="AE410" s="47" t="n">
        <f aca="false">MIN(AE409,Inputs!$B$35*AE406-AE408)</f>
        <v>0</v>
      </c>
      <c r="AF410" s="47" t="n">
        <f aca="false">MIN(AF409,Inputs!$B$35*AF406-AF408)</f>
        <v>0</v>
      </c>
      <c r="AG410" s="47" t="n">
        <f aca="false">MIN(AG409,Inputs!$B$35*AG406-AG408)</f>
        <v>0</v>
      </c>
      <c r="AH410" s="47" t="n">
        <f aca="false">MIN(AH409,Inputs!$B$35*AH406-AH408)</f>
        <v>0</v>
      </c>
      <c r="AI410" s="47" t="n">
        <f aca="false">MIN(AI409,Inputs!$B$35*AI406-AI408)</f>
        <v>0</v>
      </c>
      <c r="AJ410" s="47" t="n">
        <f aca="false">MIN(AJ409,Inputs!$B$35*AJ406-AJ408)</f>
        <v>0</v>
      </c>
      <c r="AK410" s="47" t="n">
        <f aca="false">MIN(AK409,Inputs!$B$35*AK406-AK408)</f>
        <v>0</v>
      </c>
    </row>
    <row r="411" customFormat="false" ht="15" hidden="false" customHeight="false" outlineLevel="0" collapsed="false">
      <c r="A411" s="10" t="s">
        <v>583</v>
      </c>
      <c r="H411" s="47" t="n">
        <f aca="false">(H406-H408-H410)*Inputs!$B$33</f>
        <v>0.0683635849142681</v>
      </c>
      <c r="I411" s="47" t="n">
        <f aca="false">(I406-I408-I410)*Inputs!$B$33</f>
        <v>0.0683635849142681</v>
      </c>
      <c r="J411" s="47" t="n">
        <f aca="false">(J406-J408-J410)*Inputs!$B$33</f>
        <v>0.0683635849142681</v>
      </c>
      <c r="K411" s="47" t="n">
        <f aca="false">(K406-K408-K410)*Inputs!$B$33</f>
        <v>0.0683635849142681</v>
      </c>
      <c r="L411" s="47" t="n">
        <f aca="false">(L406-L408-L410)*Inputs!$B$33</f>
        <v>0.0680791917105878</v>
      </c>
      <c r="M411" s="47" t="n">
        <f aca="false">(M406-M408-M410)*Inputs!$B$33</f>
        <v>0.0656290415176974</v>
      </c>
      <c r="N411" s="47" t="n">
        <f aca="false">(N406-N408-N410)*Inputs!$B$33</f>
        <v>0.214891441818994</v>
      </c>
      <c r="O411" s="47" t="n">
        <f aca="false">(O406-O408-O410)*Inputs!$B$33</f>
        <v>0.328145207588487</v>
      </c>
      <c r="P411" s="47" t="n">
        <f aca="false">(P406-P408-P410)*Inputs!$B$33</f>
        <v>0.328145207588487</v>
      </c>
      <c r="Q411" s="47" t="n">
        <f aca="false">(Q406-Q408-Q410)*Inputs!$B$33</f>
        <v>0.328145207588487</v>
      </c>
      <c r="R411" s="47" t="n">
        <f aca="false">(R406-R408-R410)*Inputs!$B$33</f>
        <v>0.328145207588487</v>
      </c>
      <c r="S411" s="47" t="n">
        <f aca="false">(S406-S408-S410)*Inputs!$B$33</f>
        <v>0.328145207588487</v>
      </c>
      <c r="T411" s="47" t="n">
        <f aca="false">(T406-T408-T410)*Inputs!$B$33</f>
        <v>0.328145207588487</v>
      </c>
      <c r="U411" s="47" t="n">
        <f aca="false">(U406-U408-U410)*Inputs!$B$33</f>
        <v>0.328145207588487</v>
      </c>
      <c r="V411" s="47" t="n">
        <f aca="false">(V406-V408-V410)*Inputs!$B$33</f>
        <v>0.328145207588487</v>
      </c>
      <c r="W411" s="47" t="n">
        <f aca="false">(W406-W408-W410)*Inputs!$B$33</f>
        <v>0.328145207588487</v>
      </c>
      <c r="X411" s="47" t="n">
        <f aca="false">(X406-X408-X410)*Inputs!$B$33</f>
        <v>0.328145207588487</v>
      </c>
      <c r="Y411" s="47" t="n">
        <f aca="false">(Y406-Y408-Y410)*Inputs!$B$33</f>
        <v>0.328145207588487</v>
      </c>
      <c r="Z411" s="47" t="n">
        <f aca="false">(Z406-Z408-Z410)*Inputs!$B$33</f>
        <v>0.328145207588487</v>
      </c>
      <c r="AA411" s="47" t="n">
        <f aca="false">(AA406-AA408-AA410)*Inputs!$B$33</f>
        <v>0.328145207588487</v>
      </c>
      <c r="AB411" s="47" t="n">
        <f aca="false">(AB406-AB408-AB410)*Inputs!$B$33</f>
        <v>0.328145207588487</v>
      </c>
      <c r="AC411" s="47" t="n">
        <f aca="false">(AC406-AC408-AC410)*Inputs!$B$33</f>
        <v>0.328145207588487</v>
      </c>
      <c r="AD411" s="47" t="n">
        <f aca="false">(AD406-AD408-AD410)*Inputs!$B$33</f>
        <v>0.328145207588487</v>
      </c>
      <c r="AE411" s="47" t="n">
        <f aca="false">(AE406-AE408-AE410)*Inputs!$B$33</f>
        <v>0.328145207588487</v>
      </c>
      <c r="AF411" s="47" t="n">
        <f aca="false">(AF406-AF408-AF410)*Inputs!$B$33</f>
        <v>0.328145207588487</v>
      </c>
      <c r="AG411" s="47" t="n">
        <f aca="false">(AG406-AG408-AG410)*Inputs!$B$33</f>
        <v>0.328145207588487</v>
      </c>
      <c r="AH411" s="47" t="n">
        <f aca="false">(AH406-AH408-AH410)*Inputs!$B$33</f>
        <v>0.328145207588487</v>
      </c>
      <c r="AI411" s="47" t="n">
        <f aca="false">(AI406-AI408-AI410)*Inputs!$B$33</f>
        <v>0.328145207588487</v>
      </c>
      <c r="AJ411" s="47" t="n">
        <f aca="false">(AJ406-AJ408-AJ410)*Inputs!$B$33</f>
        <v>0.328145207588487</v>
      </c>
      <c r="AK411" s="47" t="n">
        <f aca="false">(AK406-AK408-AK410)*Inputs!$B$33</f>
        <v>0.328145207588487</v>
      </c>
    </row>
    <row r="412" customFormat="false" ht="15" hidden="false" customHeight="false" outlineLevel="0" collapsed="false">
      <c r="A412" s="10" t="s">
        <v>584</v>
      </c>
      <c r="G412" s="47" t="n">
        <f aca="false">$F$362</f>
        <v>0</v>
      </c>
      <c r="H412" s="47" t="n">
        <f aca="false">G412</f>
        <v>0</v>
      </c>
      <c r="I412" s="47" t="n">
        <f aca="false">H412-H413</f>
        <v>0</v>
      </c>
      <c r="J412" s="47" t="n">
        <f aca="false">I412-I413</f>
        <v>0</v>
      </c>
      <c r="K412" s="47" t="n">
        <f aca="false">J412-J413</f>
        <v>0</v>
      </c>
      <c r="L412" s="47" t="n">
        <f aca="false">K412-K413</f>
        <v>0</v>
      </c>
      <c r="M412" s="47" t="n">
        <f aca="false">L412-L413</f>
        <v>0</v>
      </c>
      <c r="N412" s="47" t="n">
        <f aca="false">M412-M413</f>
        <v>0</v>
      </c>
      <c r="O412" s="47" t="n">
        <f aca="false">N412-N413</f>
        <v>0</v>
      </c>
      <c r="P412" s="47" t="n">
        <f aca="false">O412-O413</f>
        <v>0</v>
      </c>
      <c r="Q412" s="47" t="n">
        <f aca="false">P412-P413</f>
        <v>0</v>
      </c>
      <c r="R412" s="47" t="n">
        <f aca="false">Q412-Q413</f>
        <v>0</v>
      </c>
      <c r="S412" s="47" t="n">
        <f aca="false">R412-R413</f>
        <v>0</v>
      </c>
      <c r="T412" s="47" t="n">
        <f aca="false">S412-S413</f>
        <v>0</v>
      </c>
      <c r="U412" s="47" t="n">
        <f aca="false">T412-T413</f>
        <v>0</v>
      </c>
      <c r="V412" s="47" t="n">
        <f aca="false">U412-U413</f>
        <v>0</v>
      </c>
      <c r="W412" s="47" t="n">
        <f aca="false">V412-V413</f>
        <v>0</v>
      </c>
      <c r="X412" s="47" t="n">
        <f aca="false">W412-W413</f>
        <v>0</v>
      </c>
      <c r="Y412" s="47" t="n">
        <f aca="false">X412-X413</f>
        <v>0</v>
      </c>
      <c r="Z412" s="47" t="n">
        <f aca="false">Y412-Y413</f>
        <v>0</v>
      </c>
      <c r="AA412" s="47" t="n">
        <f aca="false">Z412-Z413</f>
        <v>0</v>
      </c>
      <c r="AB412" s="47" t="n">
        <f aca="false">AA412-AA413</f>
        <v>0</v>
      </c>
      <c r="AC412" s="47" t="n">
        <f aca="false">AB412-AB413</f>
        <v>0</v>
      </c>
      <c r="AD412" s="47" t="n">
        <f aca="false">AC412-AC413</f>
        <v>0</v>
      </c>
      <c r="AE412" s="47" t="n">
        <f aca="false">AD412-AD413</f>
        <v>0</v>
      </c>
      <c r="AF412" s="47" t="n">
        <f aca="false">AE412-AE413</f>
        <v>0</v>
      </c>
      <c r="AG412" s="47" t="n">
        <f aca="false">AF412-AF413</f>
        <v>0</v>
      </c>
      <c r="AH412" s="47" t="n">
        <f aca="false">AG412-AG413</f>
        <v>0</v>
      </c>
      <c r="AI412" s="47" t="n">
        <f aca="false">AH412-AH413</f>
        <v>0</v>
      </c>
      <c r="AJ412" s="47" t="n">
        <f aca="false">AI412-AI413</f>
        <v>0</v>
      </c>
      <c r="AK412" s="47" t="n">
        <f aca="false">AJ412-AJ413</f>
        <v>0</v>
      </c>
    </row>
    <row r="413" customFormat="false" ht="15" hidden="false" customHeight="false" outlineLevel="0" collapsed="false">
      <c r="A413" s="10" t="s">
        <v>585</v>
      </c>
      <c r="H413" s="47" t="n">
        <f aca="false">IF(1&lt;=Inputs!$B$43,MIN(H412,H411,MAX(0,1E+099-H408)*Inputs!$B$33),0)</f>
        <v>0</v>
      </c>
      <c r="I413" s="47" t="n">
        <f aca="false">IF(2&lt;=Inputs!$B$43,MIN(I412,I411,MAX(0,1E+099-I408)*Inputs!$B$33),0)</f>
        <v>0</v>
      </c>
      <c r="J413" s="47" t="n">
        <f aca="false">IF(3&lt;=Inputs!$B$43,MIN(J412,J411,MAX(0,1E+099-J408)*Inputs!$B$33),0)</f>
        <v>0</v>
      </c>
      <c r="K413" s="47" t="n">
        <f aca="false">IF(4&lt;=Inputs!$B$43,MIN(K412,K411,MAX(0,1E+099-K408)*Inputs!$B$33),0)</f>
        <v>0</v>
      </c>
      <c r="L413" s="47" t="n">
        <f aca="false">IF(5&lt;=Inputs!$B$43,MIN(L412,L411,MAX(0,1E+099-L408)*Inputs!$B$33),0)</f>
        <v>0</v>
      </c>
      <c r="M413" s="47" t="n">
        <f aca="false">IF(6&lt;=Inputs!$B$43,MIN(M412,M411,MAX(0,1E+099-M408)*Inputs!$B$33),0)</f>
        <v>0</v>
      </c>
      <c r="N413" s="47" t="n">
        <f aca="false">IF(7&lt;=Inputs!$B$43,MIN(N412,N411,MAX(0,1E+099-N408)*Inputs!$B$33),0)</f>
        <v>0</v>
      </c>
      <c r="O413" s="47" t="n">
        <f aca="false">IF(8&lt;=Inputs!$B$43,MIN(O412,O411,MAX(0,1E+099-O408)*Inputs!$B$33),0)</f>
        <v>0</v>
      </c>
      <c r="P413" s="47" t="n">
        <f aca="false">IF(9&lt;=Inputs!$B$43,MIN(P412,P411,MAX(0,1E+099-P408)*Inputs!$B$33),0)</f>
        <v>0</v>
      </c>
      <c r="Q413" s="47" t="n">
        <f aca="false">IF(10&lt;=Inputs!$B$43,MIN(Q412,Q411,MAX(0,1E+099-Q408)*Inputs!$B$33),0)</f>
        <v>0</v>
      </c>
      <c r="R413" s="47" t="n">
        <f aca="false">IF(11&lt;=Inputs!$B$43,MIN(R412,R411,MAX(0,1E+099-R408)*Inputs!$B$33),0)</f>
        <v>0</v>
      </c>
      <c r="S413" s="47" t="n">
        <f aca="false">IF(12&lt;=Inputs!$B$43,MIN(S412,S411,MAX(0,1E+099-S408)*Inputs!$B$33),0)</f>
        <v>0</v>
      </c>
      <c r="T413" s="47" t="n">
        <f aca="false">IF(13&lt;=Inputs!$B$43,MIN(T412,T411,MAX(0,1E+099-T408)*Inputs!$B$33),0)</f>
        <v>0</v>
      </c>
      <c r="U413" s="47" t="n">
        <f aca="false">IF(14&lt;=Inputs!$B$43,MIN(U412,U411,MAX(0,1E+099-U408)*Inputs!$B$33),0)</f>
        <v>0</v>
      </c>
      <c r="V413" s="47" t="n">
        <f aca="false">IF(15&lt;=Inputs!$B$43,MIN(V412,V411,MAX(0,1E+099-V408)*Inputs!$B$33),0)</f>
        <v>0</v>
      </c>
      <c r="W413" s="47" t="n">
        <f aca="false">IF(16&lt;=Inputs!$B$43,MIN(W412,W411,MAX(0,1E+099-W408)*Inputs!$B$33),0)</f>
        <v>0</v>
      </c>
      <c r="X413" s="47" t="n">
        <f aca="false">IF(17&lt;=Inputs!$B$43,MIN(X412,X411,MAX(0,1E+099-X408)*Inputs!$B$33),0)</f>
        <v>0</v>
      </c>
      <c r="Y413" s="47" t="n">
        <f aca="false">IF(18&lt;=Inputs!$B$43,MIN(Y412,Y411,MAX(0,1E+099-Y408)*Inputs!$B$33),0)</f>
        <v>0</v>
      </c>
      <c r="Z413" s="47" t="n">
        <f aca="false">IF(19&lt;=Inputs!$B$43,MIN(Z412,Z411,MAX(0,1E+099-Z408)*Inputs!$B$33),0)</f>
        <v>0</v>
      </c>
      <c r="AA413" s="47" t="n">
        <f aca="false">IF(20&lt;=Inputs!$B$43,MIN(AA412,AA411,MAX(0,1E+099-AA408)*Inputs!$B$33),0)</f>
        <v>0</v>
      </c>
      <c r="AB413" s="47" t="n">
        <f aca="false">IF(21&lt;=Inputs!$B$43,MIN(AB412,AB411,MAX(0,1E+099-AB408)*Inputs!$B$33),0)</f>
        <v>0</v>
      </c>
      <c r="AC413" s="47" t="n">
        <f aca="false">IF(22&lt;=Inputs!$B$43,MIN(AC412,AC411,MAX(0,1E+099-AC408)*Inputs!$B$33),0)</f>
        <v>0</v>
      </c>
      <c r="AD413" s="47" t="n">
        <f aca="false">IF(23&lt;=Inputs!$B$43,MIN(AD412,AD411,MAX(0,1E+099-AD408)*Inputs!$B$33),0)</f>
        <v>0</v>
      </c>
      <c r="AE413" s="47" t="n">
        <f aca="false">IF(24&lt;=Inputs!$B$43,MIN(AE412,AE411,MAX(0,1E+099-AE408)*Inputs!$B$33),0)</f>
        <v>0</v>
      </c>
      <c r="AF413" s="47" t="n">
        <f aca="false">IF(25&lt;=Inputs!$B$43,MIN(AF412,AF411,MAX(0,1E+099-AF408)*Inputs!$B$33),0)</f>
        <v>0</v>
      </c>
      <c r="AG413" s="47" t="n">
        <f aca="false">IF(26&lt;=Inputs!$B$43,MIN(AG412,AG411,MAX(0,1E+099-AG408)*Inputs!$B$33),0)</f>
        <v>0</v>
      </c>
      <c r="AH413" s="47" t="n">
        <f aca="false">IF(27&lt;=Inputs!$B$43,MIN(AH412,AH411,MAX(0,1E+099-AH408)*Inputs!$B$33),0)</f>
        <v>0</v>
      </c>
      <c r="AI413" s="47" t="n">
        <f aca="false">IF(28&lt;=Inputs!$B$43,MIN(AI412,AI411,MAX(0,1E+099-AI408)*Inputs!$B$33),0)</f>
        <v>0</v>
      </c>
      <c r="AJ413" s="47" t="n">
        <f aca="false">IF(29&lt;=Inputs!$B$43,MIN(AJ412,AJ411,MAX(0,1E+099-AJ408)*Inputs!$B$33),0)</f>
        <v>0</v>
      </c>
      <c r="AK413" s="47" t="n">
        <f aca="false">IF(30&lt;=Inputs!$B$43,MIN(AK412,AK411,MAX(0,1E+099-AK408)*Inputs!$B$33),0)</f>
        <v>0</v>
      </c>
    </row>
    <row r="414" customFormat="false" ht="15" hidden="false" customHeight="false" outlineLevel="0" collapsed="false">
      <c r="A414" s="10" t="s">
        <v>586</v>
      </c>
      <c r="H414" s="47" t="n">
        <f aca="false">($B$399*Inputs!$B$34+($B$399-$B$399*Inputs!$B$34)*Inputs!$B$33)-(H405+H411-H413)</f>
        <v>0.324889798783046</v>
      </c>
      <c r="I414" s="47" t="n">
        <f aca="false">($B$399*Inputs!$B$34+($B$399-$B$399*Inputs!$B$34)*Inputs!$B$33)-(I405+I411-I413)</f>
        <v>0.324889798783046</v>
      </c>
      <c r="J414" s="47" t="n">
        <f aca="false">($B$399*Inputs!$B$34+($B$399-$B$399*Inputs!$B$34)*Inputs!$B$33)-(J405+J411-J413)</f>
        <v>0.324889798783046</v>
      </c>
      <c r="K414" s="47" t="n">
        <f aca="false">($B$399*Inputs!$B$34+($B$399-$B$399*Inputs!$B$34)*Inputs!$B$33)-(K405+K411-K413)</f>
        <v>0.324889798783046</v>
      </c>
      <c r="L414" s="47" t="n">
        <f aca="false">($B$399*Inputs!$B$34+($B$399-$B$399*Inputs!$B$34)*Inputs!$B$33)-(L405+L411-L413)</f>
        <v>0.318402925232432</v>
      </c>
      <c r="M414" s="47" t="n">
        <f aca="false">($B$399*Inputs!$B$34+($B$399-$B$399*Inputs!$B$34)*Inputs!$B$33)-(M405+M411-M413)</f>
        <v>0.26251616607079</v>
      </c>
      <c r="N414" s="47" t="n">
        <f aca="false">($B$399*Inputs!$B$34+($B$399-$B$399*Inputs!$B$34)*Inputs!$B$33)-(N405+N411-N413)</f>
        <v>0.113253765769494</v>
      </c>
      <c r="O414" s="47" t="n">
        <f aca="false">($B$399*Inputs!$B$34+($B$399-$B$399*Inputs!$B$34)*Inputs!$B$33)-(O405+O411-O413)</f>
        <v>0</v>
      </c>
      <c r="P414" s="47" t="n">
        <f aca="false">($B$399*Inputs!$B$34+($B$399-$B$399*Inputs!$B$34)*Inputs!$B$33)-(P405+P411-P413)</f>
        <v>0</v>
      </c>
      <c r="Q414" s="47" t="n">
        <f aca="false">($B$399*Inputs!$B$34+($B$399-$B$399*Inputs!$B$34)*Inputs!$B$33)-(Q405+Q411-Q413)</f>
        <v>0</v>
      </c>
      <c r="R414" s="47" t="n">
        <f aca="false">($B$399*Inputs!$B$34+($B$399-$B$399*Inputs!$B$34)*Inputs!$B$33)-(R405+R411-R413)</f>
        <v>0</v>
      </c>
      <c r="S414" s="47" t="n">
        <f aca="false">($B$399*Inputs!$B$34+($B$399-$B$399*Inputs!$B$34)*Inputs!$B$33)-(S405+S411-S413)</f>
        <v>0</v>
      </c>
      <c r="T414" s="47" t="n">
        <f aca="false">($B$399*Inputs!$B$34+($B$399-$B$399*Inputs!$B$34)*Inputs!$B$33)-(T405+T411-T413)</f>
        <v>0</v>
      </c>
      <c r="U414" s="47" t="n">
        <f aca="false">($B$399*Inputs!$B$34+($B$399-$B$399*Inputs!$B$34)*Inputs!$B$33)-(U405+U411-U413)</f>
        <v>0</v>
      </c>
      <c r="V414" s="47" t="n">
        <f aca="false">($B$399*Inputs!$B$34+($B$399-$B$399*Inputs!$B$34)*Inputs!$B$33)-(V405+V411-V413)</f>
        <v>0</v>
      </c>
      <c r="W414" s="47" t="n">
        <f aca="false">($B$399*Inputs!$B$34+($B$399-$B$399*Inputs!$B$34)*Inputs!$B$33)-(W405+W411-W413)</f>
        <v>0</v>
      </c>
      <c r="X414" s="47" t="n">
        <f aca="false">($B$399*Inputs!$B$34+($B$399-$B$399*Inputs!$B$34)*Inputs!$B$33)-(X405+X411-X413)</f>
        <v>0</v>
      </c>
      <c r="Y414" s="47" t="n">
        <f aca="false">($B$399*Inputs!$B$34+($B$399-$B$399*Inputs!$B$34)*Inputs!$B$33)-(Y405+Y411-Y413)</f>
        <v>0</v>
      </c>
      <c r="Z414" s="47" t="n">
        <f aca="false">($B$399*Inputs!$B$34+($B$399-$B$399*Inputs!$B$34)*Inputs!$B$33)-(Z405+Z411-Z413)</f>
        <v>0</v>
      </c>
      <c r="AA414" s="47" t="n">
        <f aca="false">($B$399*Inputs!$B$34+($B$399-$B$399*Inputs!$B$34)*Inputs!$B$33)-(AA405+AA411-AA413)</f>
        <v>0</v>
      </c>
      <c r="AB414" s="47" t="n">
        <f aca="false">($B$399*Inputs!$B$34+($B$399-$B$399*Inputs!$B$34)*Inputs!$B$33)-(AB405+AB411-AB413)</f>
        <v>0</v>
      </c>
      <c r="AC414" s="47" t="n">
        <f aca="false">($B$399*Inputs!$B$34+($B$399-$B$399*Inputs!$B$34)*Inputs!$B$33)-(AC405+AC411-AC413)</f>
        <v>0</v>
      </c>
      <c r="AD414" s="47" t="n">
        <f aca="false">($B$399*Inputs!$B$34+($B$399-$B$399*Inputs!$B$34)*Inputs!$B$33)-(AD405+AD411-AD413)</f>
        <v>0</v>
      </c>
      <c r="AE414" s="47" t="n">
        <f aca="false">($B$399*Inputs!$B$34+($B$399-$B$399*Inputs!$B$34)*Inputs!$B$33)-(AE405+AE411-AE413)</f>
        <v>0</v>
      </c>
      <c r="AF414" s="47" t="n">
        <f aca="false">($B$399*Inputs!$B$34+($B$399-$B$399*Inputs!$B$34)*Inputs!$B$33)-(AF405+AF411-AF413)</f>
        <v>0</v>
      </c>
      <c r="AG414" s="47" t="n">
        <f aca="false">($B$399*Inputs!$B$34+($B$399-$B$399*Inputs!$B$34)*Inputs!$B$33)-(AG405+AG411-AG413)</f>
        <v>0</v>
      </c>
      <c r="AH414" s="47" t="n">
        <f aca="false">($B$399*Inputs!$B$34+($B$399-$B$399*Inputs!$B$34)*Inputs!$B$33)-(AH405+AH411-AH413)</f>
        <v>0</v>
      </c>
      <c r="AI414" s="47" t="n">
        <f aca="false">($B$399*Inputs!$B$34+($B$399-$B$399*Inputs!$B$34)*Inputs!$B$33)-(AI405+AI411-AI413)</f>
        <v>0</v>
      </c>
      <c r="AJ414" s="47" t="n">
        <f aca="false">($B$399*Inputs!$B$34+($B$399-$B$399*Inputs!$B$34)*Inputs!$B$33)-(AJ405+AJ411-AJ413)</f>
        <v>0</v>
      </c>
      <c r="AK414" s="47" t="n">
        <f aca="false">($B$399*Inputs!$B$34+($B$399-$B$399*Inputs!$B$34)*Inputs!$B$33)-(AK405+AK411-AK413)</f>
        <v>0</v>
      </c>
    </row>
    <row r="415" customFormat="false" ht="15" hidden="false" customHeight="false" outlineLevel="0" collapsed="false">
      <c r="A415" s="10" t="s">
        <v>587</v>
      </c>
      <c r="B415" s="47" t="n">
        <f aca="false">SUMPRODUCT($H$414:$AK$414,$H$400:$AK$400)</f>
        <v>1.39181108602628</v>
      </c>
    </row>
    <row r="416" customFormat="false" ht="15" hidden="false" customHeight="false" outlineLevel="0" collapsed="false">
      <c r="A416" s="10" t="s">
        <v>588</v>
      </c>
      <c r="B416" s="47" t="n">
        <f aca="false">Inputs!$B$42*$B$415*$F$527</f>
        <v>0.916829072523901</v>
      </c>
    </row>
    <row r="417" customFormat="false" ht="15" hidden="false" customHeight="false" outlineLevel="0" collapsed="false">
      <c r="A417" s="10" t="s">
        <v>589</v>
      </c>
      <c r="B417" s="47" t="n">
        <f aca="false">$B$383</f>
        <v>32.3747788944724</v>
      </c>
    </row>
    <row r="418" customFormat="false" ht="15" hidden="false" customHeight="false" outlineLevel="0" collapsed="false">
      <c r="A418" s="10" t="s">
        <v>590</v>
      </c>
      <c r="B418" s="47" t="n">
        <f aca="false">Inputs!$B$18*IF(ISNUMBER($B$110),$B$110,Inputs!$B$12)</f>
        <v>2.861306</v>
      </c>
    </row>
    <row r="419" customFormat="false" ht="15" hidden="false" customHeight="false" outlineLevel="0" collapsed="false">
      <c r="A419" s="10" t="s">
        <v>591</v>
      </c>
      <c r="B419" s="47" t="n">
        <f aca="false">SUMPRODUCT($C$378:$F$378,$C$527:$F$527)</f>
        <v>0</v>
      </c>
    </row>
    <row r="420" customFormat="false" ht="15" hidden="false" customHeight="false" outlineLevel="0" collapsed="false">
      <c r="A420" s="13" t="s">
        <v>592</v>
      </c>
      <c r="B420" s="18" t="n">
        <f aca="false">$B$398+$B$416+$B$417+$B$418-$B$419</f>
        <v>42.6277631267322</v>
      </c>
    </row>
    <row r="421" customFormat="false" ht="15" hidden="false" customHeight="false" outlineLevel="0" collapsed="false">
      <c r="A421" s="10" t="s">
        <v>593</v>
      </c>
      <c r="B421" s="25" t="n">
        <f aca="false">Historicals!$B$89+Inputs!$B$17</f>
        <v>3.967329173</v>
      </c>
    </row>
    <row r="422" customFormat="false" ht="15" hidden="false" customHeight="false" outlineLevel="0" collapsed="false">
      <c r="A422" s="10" t="s">
        <v>594</v>
      </c>
      <c r="B422" s="32" t="n">
        <f aca="false">IFERROR(($B$420-$B$377*(1-Inputs!$B$70))/$B$421,0)</f>
        <v>10.744700343203</v>
      </c>
    </row>
    <row r="423" customFormat="false" ht="15" hidden="false" customHeight="false" outlineLevel="0" collapsed="false">
      <c r="A423" s="10" t="s">
        <v>595</v>
      </c>
      <c r="B423" s="25" t="n">
        <f aca="false">IF($B$422&gt;0,$B$377/($B$422*(1-Inputs!$B$71)),0)</f>
        <v>0</v>
      </c>
    </row>
    <row r="424" customFormat="false" ht="15" hidden="false" customHeight="false" outlineLevel="0" collapsed="false">
      <c r="A424" s="10" t="s">
        <v>596</v>
      </c>
      <c r="B424" s="32" t="n">
        <f aca="false">IFERROR($B$420/($B$421+$B$423),0)</f>
        <v>10.744700343203</v>
      </c>
    </row>
    <row r="425" customFormat="false" ht="15" hidden="false" customHeight="false" outlineLevel="0" collapsed="false">
      <c r="A425" s="10" t="s">
        <v>597</v>
      </c>
      <c r="B425" s="47" t="n">
        <f aca="false">SUMPRODUCT($C$377:$F$377,$C$527:$F$527)</f>
        <v>0</v>
      </c>
    </row>
    <row r="426" customFormat="false" ht="15" hidden="false" customHeight="false" outlineLevel="0" collapsed="false">
      <c r="A426" s="10" t="s">
        <v>598</v>
      </c>
      <c r="B426" s="25" t="n">
        <f aca="false">IF($B$424&gt;0,$B$423+$B$425/($B$424*(1-Inputs!$B$71)),0)</f>
        <v>0</v>
      </c>
    </row>
    <row r="427" customFormat="false" ht="15" hidden="false" customHeight="false" outlineLevel="0" collapsed="false">
      <c r="A427" s="13" t="s">
        <v>599</v>
      </c>
      <c r="B427" s="15" t="n">
        <f aca="false">IFERROR(($B$420+$B$425)/($B$421+$B$426),0)</f>
        <v>10.744700343203</v>
      </c>
    </row>
    <row r="428" customFormat="false" ht="15" hidden="false" customHeight="false" outlineLevel="0" collapsed="false">
      <c r="A428" s="10" t="s">
        <v>600</v>
      </c>
      <c r="B428" s="49" t="str">
        <f aca="false">IF($F$385&gt;Inputs!$B$73,"Not meaningful: funding need above limit",IF(OR($B$389&lt;=0,$B$394&lt;=0),"Not meaningful: 2030 profit or cash flow negative",IF(OR($B$393&lt;=0,$B$397&lt;=0),"Not meaningful: a method gives zero or negative value",IF($B$420&lt;=0,"Not meaningful: value at or below zero","OK"))))</f>
        <v>Not meaningful: 2030 profit or cash flow negative</v>
      </c>
    </row>
    <row r="429" customFormat="false" ht="15" hidden="false" customHeight="false" outlineLevel="0" collapsed="false">
      <c r="A429" s="13" t="s">
        <v>601</v>
      </c>
      <c r="B429" s="15" t="str">
        <f aca="false">IF($B$428="OK",$B$427,"unresolved")</f>
        <v>unresolved</v>
      </c>
    </row>
    <row r="430" customFormat="false" ht="15" hidden="false" customHeight="false" outlineLevel="0" collapsed="false">
      <c r="A430" s="10" t="s">
        <v>602</v>
      </c>
      <c r="B430" s="47" t="str">
        <f aca="false">IF(ISNUMBER($B$429),$B$429*$B$421,"unresolved")</f>
        <v>unresolved</v>
      </c>
    </row>
    <row r="431" customFormat="false" ht="15" hidden="false" customHeight="false" outlineLevel="0" collapsed="false">
      <c r="A431" s="10" t="s">
        <v>603</v>
      </c>
      <c r="B431" s="47" t="str">
        <f aca="false">IFERROR($B$420-$B$377*(1-Inputs!$B$70)-$B$430,"n/a")</f>
        <v>n/a</v>
      </c>
    </row>
    <row r="433" customFormat="false" ht="15" hidden="false" customHeight="false" outlineLevel="0" collapsed="false">
      <c r="A433" s="8" t="s">
        <v>627</v>
      </c>
      <c r="B433" s="9" t="s">
        <v>495</v>
      </c>
      <c r="C433" s="9" t="s">
        <v>496</v>
      </c>
      <c r="D433" s="9" t="s">
        <v>497</v>
      </c>
      <c r="E433" s="9" t="s">
        <v>498</v>
      </c>
      <c r="F433" s="9" t="s">
        <v>499</v>
      </c>
    </row>
    <row r="434" customFormat="false" ht="15" hidden="false" customHeight="false" outlineLevel="0" collapsed="false">
      <c r="A434" s="10" t="s">
        <v>628</v>
      </c>
      <c r="B434" s="19" t="n">
        <f aca="false">IF(0-Inputs!$B$25&lt;0,0,INDEX(Inputs!$B$82:$F$82,1,0-Inputs!$B$25+1))*Inputs!$B$26</f>
        <v>0</v>
      </c>
      <c r="C434" s="19" t="n">
        <f aca="false">IF(1-Inputs!$B$25&lt;0,0,INDEX(Inputs!$B$82:$F$82,1,1-Inputs!$B$25+1))*Inputs!$B$26</f>
        <v>0.25</v>
      </c>
      <c r="D434" s="19" t="n">
        <f aca="false">IF(2-Inputs!$B$25&lt;0,0,INDEX(Inputs!$B$82:$F$82,1,2-Inputs!$B$25+1))*Inputs!$B$26</f>
        <v>0.5</v>
      </c>
      <c r="E434" s="19" t="n">
        <f aca="false">IF(3-Inputs!$B$25&lt;0,0,INDEX(Inputs!$B$82:$F$82,1,3-Inputs!$B$25+1))*Inputs!$B$26</f>
        <v>0.75</v>
      </c>
      <c r="F434" s="19" t="n">
        <f aca="false">IF(4-Inputs!$B$25&lt;0,0,INDEX(Inputs!$B$82:$F$82,1,4-Inputs!$B$25+1))*Inputs!$B$26</f>
        <v>1</v>
      </c>
    </row>
    <row r="435" customFormat="false" ht="15" hidden="false" customHeight="false" outlineLevel="0" collapsed="false">
      <c r="A435" s="10" t="s">
        <v>629</v>
      </c>
      <c r="B435" s="19" t="n">
        <f aca="false">IF(0-Inputs!$B$25&lt;0,0,INDEX(Inputs!$B$82:$F$82,1,0-Inputs!$B$25+1))</f>
        <v>0</v>
      </c>
      <c r="C435" s="19" t="n">
        <f aca="false">IF(1-Inputs!$B$25&lt;0,0,INDEX(Inputs!$B$82:$F$82,1,1-Inputs!$B$25+1))</f>
        <v>0.25</v>
      </c>
      <c r="D435" s="19" t="n">
        <f aca="false">IF(2-Inputs!$B$25&lt;0,0,INDEX(Inputs!$B$82:$F$82,1,2-Inputs!$B$25+1))</f>
        <v>0.5</v>
      </c>
      <c r="E435" s="19" t="n">
        <f aca="false">IF(3-Inputs!$B$25&lt;0,0,INDEX(Inputs!$B$82:$F$82,1,3-Inputs!$B$25+1))</f>
        <v>0.75</v>
      </c>
      <c r="F435" s="19" t="n">
        <f aca="false">IF(4-Inputs!$B$25&lt;0,0,INDEX(Inputs!$B$82:$F$82,1,4-Inputs!$B$25+1))</f>
        <v>1</v>
      </c>
    </row>
    <row r="436" customFormat="false" ht="15" hidden="false" customHeight="false" outlineLevel="0" collapsed="false">
      <c r="A436" s="10" t="s">
        <v>630</v>
      </c>
      <c r="B436" s="47" t="n">
        <f aca="false">Inputs!$B$155*B434</f>
        <v>0</v>
      </c>
      <c r="C436" s="47" t="n">
        <f aca="false">Inputs!$B$155*C434</f>
        <v>0.5</v>
      </c>
      <c r="D436" s="47" t="n">
        <f aca="false">Inputs!$B$155*D434</f>
        <v>1</v>
      </c>
      <c r="E436" s="47" t="n">
        <f aca="false">Inputs!$B$155*E434</f>
        <v>1.5</v>
      </c>
      <c r="F436" s="47" t="n">
        <f aca="false">Inputs!$B$155*F434</f>
        <v>2</v>
      </c>
    </row>
    <row r="437" customFormat="false" ht="15" hidden="false" customHeight="false" outlineLevel="0" collapsed="false">
      <c r="A437" s="10" t="s">
        <v>631</v>
      </c>
      <c r="B437" s="47" t="n">
        <f aca="false">Inputs!$B$156*B434</f>
        <v>0</v>
      </c>
      <c r="C437" s="47" t="n">
        <f aca="false">Inputs!$B$156*C434</f>
        <v>0</v>
      </c>
      <c r="D437" s="47" t="n">
        <f aca="false">Inputs!$B$156*D434</f>
        <v>0</v>
      </c>
      <c r="E437" s="47" t="n">
        <f aca="false">Inputs!$B$156*E434</f>
        <v>0</v>
      </c>
      <c r="F437" s="47" t="n">
        <f aca="false">Inputs!$B$156*F434</f>
        <v>0</v>
      </c>
    </row>
    <row r="438" customFormat="false" ht="15" hidden="false" customHeight="false" outlineLevel="0" collapsed="false">
      <c r="A438" s="10" t="s">
        <v>632</v>
      </c>
      <c r="B438" s="47" t="n">
        <f aca="false">B437*Inputs!$B$157</f>
        <v>0</v>
      </c>
      <c r="C438" s="47" t="n">
        <f aca="false">C437*Inputs!$B$157</f>
        <v>0</v>
      </c>
      <c r="D438" s="47" t="n">
        <f aca="false">D437*Inputs!$B$157</f>
        <v>0</v>
      </c>
      <c r="E438" s="47" t="n">
        <f aca="false">E437*Inputs!$B$157</f>
        <v>0</v>
      </c>
      <c r="F438" s="47" t="n">
        <f aca="false">F437*Inputs!$B$157</f>
        <v>0</v>
      </c>
    </row>
    <row r="439" customFormat="false" ht="15" hidden="false" customHeight="false" outlineLevel="0" collapsed="false">
      <c r="A439" s="10" t="s">
        <v>633</v>
      </c>
      <c r="B439" s="47" t="n">
        <f aca="false">Inputs!$B$158*B435</f>
        <v>0</v>
      </c>
      <c r="C439" s="47" t="n">
        <f aca="false">Inputs!$B$158*C435</f>
        <v>0</v>
      </c>
      <c r="D439" s="47" t="n">
        <f aca="false">Inputs!$B$158*D435</f>
        <v>0</v>
      </c>
      <c r="E439" s="47" t="n">
        <f aca="false">Inputs!$B$158*E435</f>
        <v>0</v>
      </c>
      <c r="F439" s="47" t="n">
        <f aca="false">Inputs!$B$158*F435</f>
        <v>0</v>
      </c>
    </row>
    <row r="440" customFormat="false" ht="15" hidden="false" customHeight="false" outlineLevel="0" collapsed="false">
      <c r="A440" s="10" t="s">
        <v>634</v>
      </c>
      <c r="B440" s="26" t="n">
        <v>0</v>
      </c>
      <c r="C440" s="47" t="n">
        <f aca="false">Inputs!$B$23</f>
        <v>2</v>
      </c>
      <c r="D440" s="26" t="n">
        <v>0</v>
      </c>
      <c r="E440" s="26" t="n">
        <v>0</v>
      </c>
      <c r="F440" s="26" t="n">
        <v>0</v>
      </c>
    </row>
    <row r="441" customFormat="false" ht="15" hidden="false" customHeight="false" outlineLevel="0" collapsed="false">
      <c r="A441" s="10" t="s">
        <v>635</v>
      </c>
      <c r="B441" s="47" t="n">
        <f aca="false">B436+B438-B439-B440</f>
        <v>0</v>
      </c>
      <c r="C441" s="47" t="n">
        <f aca="false">C436+C438-C439-C440</f>
        <v>-1.5</v>
      </c>
      <c r="D441" s="47" t="n">
        <f aca="false">D436+D438-D439-D440</f>
        <v>1</v>
      </c>
      <c r="E441" s="47" t="n">
        <f aca="false">E436+E438-E439-E440</f>
        <v>1.5</v>
      </c>
      <c r="F441" s="47" t="n">
        <f aca="false">F436+F438-F439-F440</f>
        <v>2</v>
      </c>
    </row>
    <row r="442" customFormat="false" ht="15" hidden="false" customHeight="false" outlineLevel="0" collapsed="false">
      <c r="A442" s="10" t="s">
        <v>636</v>
      </c>
      <c r="B442" s="26" t="n">
        <v>0</v>
      </c>
      <c r="C442" s="47" t="n">
        <f aca="false">Inputs!$B$24/2</f>
        <v>0</v>
      </c>
      <c r="D442" s="47" t="n">
        <f aca="false">Inputs!$B$24/2</f>
        <v>0</v>
      </c>
      <c r="E442" s="26" t="n">
        <v>0</v>
      </c>
      <c r="F442" s="26" t="n">
        <v>0</v>
      </c>
    </row>
    <row r="443" customFormat="false" ht="15" hidden="false" customHeight="false" outlineLevel="0" collapsed="false">
      <c r="A443" s="10" t="s">
        <v>637</v>
      </c>
      <c r="B443" s="26" t="n">
        <v>0</v>
      </c>
      <c r="C443" s="47" t="n">
        <f aca="false">(C25+C131)*Inputs!$B$159*C434</f>
        <v>0</v>
      </c>
      <c r="D443" s="47" t="n">
        <f aca="false">(D25+D131)*Inputs!$B$159*D434</f>
        <v>0</v>
      </c>
      <c r="E443" s="47" t="n">
        <f aca="false">(E25+E131)*Inputs!$B$159*E434</f>
        <v>0</v>
      </c>
      <c r="F443" s="47" t="n">
        <f aca="false">(F25+F131)*Inputs!$B$159*F434</f>
        <v>0</v>
      </c>
    </row>
    <row r="444" customFormat="false" ht="15" hidden="false" customHeight="false" outlineLevel="0" collapsed="false">
      <c r="A444" s="10" t="s">
        <v>638</v>
      </c>
      <c r="B444" s="26" t="n">
        <v>0</v>
      </c>
      <c r="C444" s="26" t="n">
        <v>0</v>
      </c>
      <c r="D444" s="26" t="n">
        <v>0</v>
      </c>
      <c r="E444" s="26" t="n">
        <v>0</v>
      </c>
      <c r="F444" s="26" t="n">
        <v>0</v>
      </c>
    </row>
    <row r="445" customFormat="false" ht="15" hidden="false" customHeight="false" outlineLevel="0" collapsed="false">
      <c r="A445" s="10" t="s">
        <v>639</v>
      </c>
      <c r="B445" s="47" t="n">
        <f aca="false">B442-B443-B444</f>
        <v>0</v>
      </c>
      <c r="C445" s="47" t="n">
        <f aca="false">C442-C443-C444</f>
        <v>0</v>
      </c>
      <c r="D445" s="47" t="n">
        <f aca="false">D442-D443-D444</f>
        <v>0</v>
      </c>
      <c r="E445" s="47" t="n">
        <f aca="false">E442-E443-E444</f>
        <v>0</v>
      </c>
      <c r="F445" s="47" t="n">
        <f aca="false">F442-F443-F444</f>
        <v>0</v>
      </c>
    </row>
    <row r="446" customFormat="false" ht="15" hidden="false" customHeight="false" outlineLevel="0" collapsed="false">
      <c r="A446" s="10" t="s">
        <v>640</v>
      </c>
      <c r="B446" s="26" t="n">
        <v>0</v>
      </c>
      <c r="C446" s="47" t="n">
        <f aca="false">C445*0.5/Inputs!$B$47</f>
        <v>0</v>
      </c>
      <c r="D446" s="47" t="n">
        <f aca="false">C445*IF(1&lt;=Inputs!$B$47-1,1,IF(1=Inputs!$B$47,0.5,0))/Inputs!$B$47+D445*0.5/Inputs!$B$47</f>
        <v>0</v>
      </c>
      <c r="E446" s="47" t="n">
        <f aca="false">C445*IF(2&lt;=Inputs!$B$47-1,1,IF(2=Inputs!$B$47,0.5,0))/Inputs!$B$47+D445*IF(1&lt;=Inputs!$B$47-1,1,IF(1=Inputs!$B$47,0.5,0))/Inputs!$B$47+E445*0.5/Inputs!$B$47</f>
        <v>0</v>
      </c>
      <c r="F446" s="47" t="n">
        <f aca="false">C445*IF(3&lt;=Inputs!$B$47-1,1,IF(3=Inputs!$B$47,0.5,0))/Inputs!$B$47+D445*IF(2&lt;=Inputs!$B$47-1,1,IF(2=Inputs!$B$47,0.5,0))/Inputs!$B$47+E445*IF(1&lt;=Inputs!$B$47-1,1,IF(1=Inputs!$B$47,0.5,0))/Inputs!$B$47+F445*0.5/Inputs!$B$47</f>
        <v>0</v>
      </c>
    </row>
    <row r="447" customFormat="false" ht="15" hidden="false" customHeight="false" outlineLevel="0" collapsed="false">
      <c r="A447" s="13" t="s">
        <v>641</v>
      </c>
      <c r="B447" s="18" t="n">
        <f aca="false">B441-B446</f>
        <v>0</v>
      </c>
      <c r="C447" s="18" t="n">
        <f aca="false">C441-C446</f>
        <v>-1.5</v>
      </c>
      <c r="D447" s="18" t="n">
        <f aca="false">D441-D446</f>
        <v>1</v>
      </c>
      <c r="E447" s="18" t="n">
        <f aca="false">E441-E446</f>
        <v>1.5</v>
      </c>
      <c r="F447" s="18" t="n">
        <f aca="false">F441-F446</f>
        <v>2</v>
      </c>
    </row>
    <row r="448" customFormat="false" ht="15" hidden="false" customHeight="false" outlineLevel="0" collapsed="false">
      <c r="A448" s="10" t="s">
        <v>642</v>
      </c>
      <c r="B448" s="47" t="n">
        <f aca="false">B441-(Inputs!$B$37*B445+(1-Inputs!$B$37)*B446)</f>
        <v>0</v>
      </c>
      <c r="C448" s="47" t="n">
        <f aca="false">C441-(Inputs!$B$37*C445+(1-Inputs!$B$37)*C446)</f>
        <v>-1.5</v>
      </c>
      <c r="D448" s="47" t="n">
        <f aca="false">D441-(Inputs!$B$37*D445+(1-Inputs!$B$37)*D446)</f>
        <v>1</v>
      </c>
      <c r="E448" s="47" t="n">
        <f aca="false">E441-(Inputs!$B$37*E445+(1-Inputs!$B$37)*E446)</f>
        <v>1.5</v>
      </c>
      <c r="F448" s="47" t="n">
        <f aca="false">F441-(Inputs!$B$37*F445+(1-Inputs!$B$37)*F446)</f>
        <v>2</v>
      </c>
    </row>
    <row r="449" customFormat="false" ht="15" hidden="false" customHeight="false" outlineLevel="0" collapsed="false">
      <c r="A449" s="10" t="s">
        <v>643</v>
      </c>
      <c r="B449" s="47" t="n">
        <f aca="false">B448*Inputs!$B$79</f>
        <v>0</v>
      </c>
      <c r="C449" s="47" t="n">
        <f aca="false">C448*Inputs!$B$79</f>
        <v>-0.3624</v>
      </c>
      <c r="D449" s="47" t="n">
        <f aca="false">D448*Inputs!$B$79</f>
        <v>0.2416</v>
      </c>
      <c r="E449" s="47" t="n">
        <f aca="false">E448*Inputs!$B$79</f>
        <v>0.3624</v>
      </c>
      <c r="F449" s="47" t="n">
        <f aca="false">F448*Inputs!$B$79</f>
        <v>0.4832</v>
      </c>
    </row>
    <row r="450" customFormat="false" ht="15" hidden="false" customHeight="false" outlineLevel="0" collapsed="false">
      <c r="A450" s="13" t="s">
        <v>644</v>
      </c>
      <c r="B450" s="18" t="n">
        <f aca="false">B447+B446-B449-B445</f>
        <v>0</v>
      </c>
      <c r="C450" s="18" t="n">
        <f aca="false">C447+C446-C449-C445</f>
        <v>-1.1376</v>
      </c>
      <c r="D450" s="18" t="n">
        <f aca="false">D447+D446-D449-D445</f>
        <v>0.7584</v>
      </c>
      <c r="E450" s="18" t="n">
        <f aca="false">E447+E446-E449-E445</f>
        <v>1.1376</v>
      </c>
      <c r="F450" s="18" t="n">
        <f aca="false">F447+F446-F449-F445</f>
        <v>1.5168</v>
      </c>
    </row>
    <row r="451" customFormat="false" ht="15" hidden="false" customHeight="false" outlineLevel="0" collapsed="false">
      <c r="A451" s="10" t="s">
        <v>645</v>
      </c>
      <c r="B451" s="47" t="n">
        <f aca="false">$F$447*(1-Inputs!$B$79)+$F$446-$F$445</f>
        <v>1.5168</v>
      </c>
    </row>
    <row r="452" customFormat="false" ht="15" hidden="false" customHeight="false" outlineLevel="0" collapsed="false">
      <c r="A452" s="10" t="s">
        <v>646</v>
      </c>
      <c r="B452" s="47" t="n">
        <f aca="false">SUMPRODUCT($C$450:$F$450,$C$527:$F$527)+$F$447*(1-Inputs!$B$79)*Inputs!$B$30*$F$527</f>
        <v>26.4007145850369</v>
      </c>
    </row>
    <row r="453" customFormat="false" ht="15" hidden="false" customHeight="false" outlineLevel="0" collapsed="false">
      <c r="A453" s="10" t="s">
        <v>647</v>
      </c>
      <c r="B453" s="47" t="n">
        <f aca="false">SUMPRODUCT($C$450:$F$450,$C$527:$F$527)+$B$451*Inputs!$B$31*$F$527</f>
        <v>21.4048988771212</v>
      </c>
    </row>
    <row r="454" customFormat="false" ht="15" hidden="false" customHeight="false" outlineLevel="0" collapsed="false">
      <c r="A454" s="13" t="s">
        <v>648</v>
      </c>
      <c r="B454" s="18" t="n">
        <f aca="false">Inputs!$B$7*$B$452+(1-Inputs!$B$7)*$B$453</f>
        <v>23.9028067310791</v>
      </c>
    </row>
    <row r="456" customFormat="false" ht="15" hidden="false" customHeight="false" outlineLevel="0" collapsed="false">
      <c r="A456" s="8" t="s">
        <v>649</v>
      </c>
      <c r="B456" s="9" t="s">
        <v>495</v>
      </c>
      <c r="C456" s="9" t="s">
        <v>496</v>
      </c>
      <c r="D456" s="9" t="s">
        <v>497</v>
      </c>
      <c r="E456" s="9" t="s">
        <v>498</v>
      </c>
      <c r="F456" s="9" t="s">
        <v>499</v>
      </c>
    </row>
    <row r="457" customFormat="false" ht="15" hidden="false" customHeight="false" outlineLevel="0" collapsed="false">
      <c r="A457" s="10" t="s">
        <v>628</v>
      </c>
      <c r="B457" s="19" t="n">
        <f aca="false">IF(0-Inputs!$B$25&lt;0,0,INDEX(Inputs!$B$82:$F$82,1,0-Inputs!$B$25+1))*Inputs!$B$28</f>
        <v>0</v>
      </c>
      <c r="C457" s="19" t="n">
        <f aca="false">IF(1-Inputs!$B$25&lt;0,0,INDEX(Inputs!$B$82:$F$82,1,1-Inputs!$B$25+1))*Inputs!$B$28</f>
        <v>0.1875</v>
      </c>
      <c r="D457" s="19" t="n">
        <f aca="false">IF(2-Inputs!$B$25&lt;0,0,INDEX(Inputs!$B$82:$F$82,1,2-Inputs!$B$25+1))*Inputs!$B$28</f>
        <v>0.375</v>
      </c>
      <c r="E457" s="19" t="n">
        <f aca="false">IF(3-Inputs!$B$25&lt;0,0,INDEX(Inputs!$B$82:$F$82,1,3-Inputs!$B$25+1))*Inputs!$B$28</f>
        <v>0.5625</v>
      </c>
      <c r="F457" s="19" t="n">
        <f aca="false">IF(4-Inputs!$B$25&lt;0,0,INDEX(Inputs!$B$82:$F$82,1,4-Inputs!$B$25+1))*Inputs!$B$28</f>
        <v>0.75</v>
      </c>
    </row>
    <row r="458" customFormat="false" ht="15" hidden="false" customHeight="false" outlineLevel="0" collapsed="false">
      <c r="A458" s="10" t="s">
        <v>629</v>
      </c>
      <c r="B458" s="19" t="n">
        <f aca="false">IF(0-Inputs!$B$25&lt;0,0,INDEX(Inputs!$B$82:$F$82,1,0-Inputs!$B$25+1))</f>
        <v>0</v>
      </c>
      <c r="C458" s="19" t="n">
        <f aca="false">IF(1-Inputs!$B$25&lt;0,0,INDEX(Inputs!$B$82:$F$82,1,1-Inputs!$B$25+1))</f>
        <v>0.25</v>
      </c>
      <c r="D458" s="19" t="n">
        <f aca="false">IF(2-Inputs!$B$25&lt;0,0,INDEX(Inputs!$B$82:$F$82,1,2-Inputs!$B$25+1))</f>
        <v>0.5</v>
      </c>
      <c r="E458" s="19" t="n">
        <f aca="false">IF(3-Inputs!$B$25&lt;0,0,INDEX(Inputs!$B$82:$F$82,1,3-Inputs!$B$25+1))</f>
        <v>0.75</v>
      </c>
      <c r="F458" s="19" t="n">
        <f aca="false">IF(4-Inputs!$B$25&lt;0,0,INDEX(Inputs!$B$82:$F$82,1,4-Inputs!$B$25+1))</f>
        <v>1</v>
      </c>
    </row>
    <row r="459" customFormat="false" ht="15" hidden="false" customHeight="false" outlineLevel="0" collapsed="false">
      <c r="A459" s="10" t="s">
        <v>630</v>
      </c>
      <c r="B459" s="47" t="n">
        <f aca="false">Inputs!$B$155*B457</f>
        <v>0</v>
      </c>
      <c r="C459" s="47" t="n">
        <f aca="false">Inputs!$B$155*C457</f>
        <v>0.375</v>
      </c>
      <c r="D459" s="47" t="n">
        <f aca="false">Inputs!$B$155*D457</f>
        <v>0.75</v>
      </c>
      <c r="E459" s="47" t="n">
        <f aca="false">Inputs!$B$155*E457</f>
        <v>1.125</v>
      </c>
      <c r="F459" s="47" t="n">
        <f aca="false">Inputs!$B$155*F457</f>
        <v>1.5</v>
      </c>
    </row>
    <row r="460" customFormat="false" ht="15" hidden="false" customHeight="false" outlineLevel="0" collapsed="false">
      <c r="A460" s="10" t="s">
        <v>631</v>
      </c>
      <c r="B460" s="47" t="n">
        <f aca="false">Inputs!$B$156*B457</f>
        <v>0</v>
      </c>
      <c r="C460" s="47" t="n">
        <f aca="false">Inputs!$B$156*C457</f>
        <v>0</v>
      </c>
      <c r="D460" s="47" t="n">
        <f aca="false">Inputs!$B$156*D457</f>
        <v>0</v>
      </c>
      <c r="E460" s="47" t="n">
        <f aca="false">Inputs!$B$156*E457</f>
        <v>0</v>
      </c>
      <c r="F460" s="47" t="n">
        <f aca="false">Inputs!$B$156*F457</f>
        <v>0</v>
      </c>
    </row>
    <row r="461" customFormat="false" ht="15" hidden="false" customHeight="false" outlineLevel="0" collapsed="false">
      <c r="A461" s="10" t="s">
        <v>632</v>
      </c>
      <c r="B461" s="47" t="n">
        <f aca="false">B460*Inputs!$B$157</f>
        <v>0</v>
      </c>
      <c r="C461" s="47" t="n">
        <f aca="false">C460*Inputs!$B$157</f>
        <v>0</v>
      </c>
      <c r="D461" s="47" t="n">
        <f aca="false">D460*Inputs!$B$157</f>
        <v>0</v>
      </c>
      <c r="E461" s="47" t="n">
        <f aca="false">E460*Inputs!$B$157</f>
        <v>0</v>
      </c>
      <c r="F461" s="47" t="n">
        <f aca="false">F460*Inputs!$B$157</f>
        <v>0</v>
      </c>
    </row>
    <row r="462" customFormat="false" ht="15" hidden="false" customHeight="false" outlineLevel="0" collapsed="false">
      <c r="A462" s="10" t="s">
        <v>633</v>
      </c>
      <c r="B462" s="47" t="n">
        <f aca="false">Inputs!$B$27*B458</f>
        <v>0</v>
      </c>
      <c r="C462" s="47" t="n">
        <f aca="false">Inputs!$B$27*C458</f>
        <v>0.25</v>
      </c>
      <c r="D462" s="47" t="n">
        <f aca="false">Inputs!$B$27*D458</f>
        <v>0.5</v>
      </c>
      <c r="E462" s="47" t="n">
        <f aca="false">Inputs!$B$27*E458</f>
        <v>0.75</v>
      </c>
      <c r="F462" s="47" t="n">
        <f aca="false">Inputs!$B$27*F458</f>
        <v>1</v>
      </c>
    </row>
    <row r="463" customFormat="false" ht="15" hidden="false" customHeight="false" outlineLevel="0" collapsed="false">
      <c r="A463" s="10" t="s">
        <v>634</v>
      </c>
      <c r="B463" s="26" t="n">
        <v>0</v>
      </c>
      <c r="C463" s="47" t="n">
        <f aca="false">Inputs!$B$23</f>
        <v>2</v>
      </c>
      <c r="D463" s="26" t="n">
        <v>0</v>
      </c>
      <c r="E463" s="26" t="n">
        <v>0</v>
      </c>
      <c r="F463" s="26" t="n">
        <v>0</v>
      </c>
    </row>
    <row r="464" customFormat="false" ht="15" hidden="false" customHeight="false" outlineLevel="0" collapsed="false">
      <c r="A464" s="10" t="s">
        <v>635</v>
      </c>
      <c r="B464" s="47" t="n">
        <f aca="false">B459+B461-B462-B463</f>
        <v>0</v>
      </c>
      <c r="C464" s="47" t="n">
        <f aca="false">C459+C461-C462-C463</f>
        <v>-1.875</v>
      </c>
      <c r="D464" s="47" t="n">
        <f aca="false">D459+D461-D462-D463</f>
        <v>0.25</v>
      </c>
      <c r="E464" s="47" t="n">
        <f aca="false">E459+E461-E462-E463</f>
        <v>0.375</v>
      </c>
      <c r="F464" s="47" t="n">
        <f aca="false">F459+F461-F462-F463</f>
        <v>0.5</v>
      </c>
    </row>
    <row r="465" customFormat="false" ht="15" hidden="false" customHeight="false" outlineLevel="0" collapsed="false">
      <c r="A465" s="10" t="s">
        <v>636</v>
      </c>
      <c r="B465" s="26" t="n">
        <v>0</v>
      </c>
      <c r="C465" s="47" t="n">
        <f aca="false">Inputs!$B$29/2</f>
        <v>1.5</v>
      </c>
      <c r="D465" s="47" t="n">
        <f aca="false">Inputs!$B$29/2</f>
        <v>1.5</v>
      </c>
      <c r="E465" s="26" t="n">
        <v>0</v>
      </c>
      <c r="F465" s="26" t="n">
        <v>0</v>
      </c>
    </row>
    <row r="466" customFormat="false" ht="15" hidden="false" customHeight="false" outlineLevel="0" collapsed="false">
      <c r="A466" s="10" t="s">
        <v>637</v>
      </c>
      <c r="B466" s="26" t="n">
        <v>0</v>
      </c>
      <c r="C466" s="47" t="n">
        <f aca="false">(C25+C131)*Inputs!$B$159*C457</f>
        <v>0</v>
      </c>
      <c r="D466" s="47" t="n">
        <f aca="false">(D25+D131)*Inputs!$B$159*D457</f>
        <v>0</v>
      </c>
      <c r="E466" s="47" t="n">
        <f aca="false">(E25+E131)*Inputs!$B$159*E457</f>
        <v>0</v>
      </c>
      <c r="F466" s="47" t="n">
        <f aca="false">(F25+F131)*Inputs!$B$159*F457</f>
        <v>0</v>
      </c>
    </row>
    <row r="467" customFormat="false" ht="15" hidden="false" customHeight="false" outlineLevel="0" collapsed="false">
      <c r="A467" s="10" t="s">
        <v>638</v>
      </c>
      <c r="B467" s="26" t="n">
        <v>0</v>
      </c>
      <c r="C467" s="26" t="n">
        <v>0</v>
      </c>
      <c r="D467" s="26" t="n">
        <v>0</v>
      </c>
      <c r="E467" s="26" t="n">
        <v>0</v>
      </c>
      <c r="F467" s="26" t="n">
        <v>0</v>
      </c>
    </row>
    <row r="468" customFormat="false" ht="15" hidden="false" customHeight="false" outlineLevel="0" collapsed="false">
      <c r="A468" s="10" t="s">
        <v>639</v>
      </c>
      <c r="B468" s="47" t="n">
        <f aca="false">B465-B466-B467</f>
        <v>0</v>
      </c>
      <c r="C468" s="47" t="n">
        <f aca="false">C465-C466-C467</f>
        <v>1.5</v>
      </c>
      <c r="D468" s="47" t="n">
        <f aca="false">D465-D466-D467</f>
        <v>1.5</v>
      </c>
      <c r="E468" s="47" t="n">
        <f aca="false">E465-E466-E467</f>
        <v>0</v>
      </c>
      <c r="F468" s="47" t="n">
        <f aca="false">F465-F466-F467</f>
        <v>0</v>
      </c>
    </row>
    <row r="469" customFormat="false" ht="15" hidden="false" customHeight="false" outlineLevel="0" collapsed="false">
      <c r="A469" s="10" t="s">
        <v>640</v>
      </c>
      <c r="B469" s="26" t="n">
        <v>0</v>
      </c>
      <c r="C469" s="47" t="n">
        <f aca="false">C468*0.5/Inputs!$B$47</f>
        <v>0.107142857142857</v>
      </c>
      <c r="D469" s="47" t="n">
        <f aca="false">C468*IF(1&lt;=Inputs!$B$47-1,1,IF(1=Inputs!$B$47,0.5,0))/Inputs!$B$47+D468*0.5/Inputs!$B$47</f>
        <v>0.321428571428571</v>
      </c>
      <c r="E469" s="47" t="n">
        <f aca="false">C468*IF(2&lt;=Inputs!$B$47-1,1,IF(2=Inputs!$B$47,0.5,0))/Inputs!$B$47+D468*IF(1&lt;=Inputs!$B$47-1,1,IF(1=Inputs!$B$47,0.5,0))/Inputs!$B$47+E468*0.5/Inputs!$B$47</f>
        <v>0.428571428571429</v>
      </c>
      <c r="F469" s="47" t="n">
        <f aca="false">C468*IF(3&lt;=Inputs!$B$47-1,1,IF(3=Inputs!$B$47,0.5,0))/Inputs!$B$47+D468*IF(2&lt;=Inputs!$B$47-1,1,IF(2=Inputs!$B$47,0.5,0))/Inputs!$B$47+E468*IF(1&lt;=Inputs!$B$47-1,1,IF(1=Inputs!$B$47,0.5,0))/Inputs!$B$47+F468*0.5/Inputs!$B$47</f>
        <v>0.428571428571429</v>
      </c>
    </row>
    <row r="470" customFormat="false" ht="15" hidden="false" customHeight="false" outlineLevel="0" collapsed="false">
      <c r="A470" s="13" t="s">
        <v>641</v>
      </c>
      <c r="B470" s="18" t="n">
        <f aca="false">B464-B469</f>
        <v>0</v>
      </c>
      <c r="C470" s="18" t="n">
        <f aca="false">C464-C469</f>
        <v>-1.98214285714286</v>
      </c>
      <c r="D470" s="18" t="n">
        <f aca="false">D464-D469</f>
        <v>-0.0714285714285714</v>
      </c>
      <c r="E470" s="18" t="n">
        <f aca="false">E464-E469</f>
        <v>-0.0535714285714286</v>
      </c>
      <c r="F470" s="18" t="n">
        <f aca="false">F464-F469</f>
        <v>0.0714285714285715</v>
      </c>
    </row>
    <row r="471" customFormat="false" ht="15" hidden="false" customHeight="false" outlineLevel="0" collapsed="false">
      <c r="A471" s="10" t="s">
        <v>642</v>
      </c>
      <c r="B471" s="47" t="n">
        <f aca="false">B464-(Inputs!$B$37*B468+(1-Inputs!$B$37)*B469)</f>
        <v>0</v>
      </c>
      <c r="C471" s="47" t="n">
        <f aca="false">C464-(Inputs!$B$37*C468+(1-Inputs!$B$37)*C469)</f>
        <v>-2.95714285714286</v>
      </c>
      <c r="D471" s="47" t="n">
        <f aca="false">D464-(Inputs!$B$37*D468+(1-Inputs!$B$37)*D469)</f>
        <v>-0.896428571428571</v>
      </c>
      <c r="E471" s="47" t="n">
        <f aca="false">E464-(Inputs!$B$37*E468+(1-Inputs!$B$37)*E469)</f>
        <v>0.246428571428571</v>
      </c>
      <c r="F471" s="47" t="n">
        <f aca="false">F464-(Inputs!$B$37*F468+(1-Inputs!$B$37)*F469)</f>
        <v>0.371428571428571</v>
      </c>
    </row>
    <row r="472" customFormat="false" ht="15" hidden="false" customHeight="false" outlineLevel="0" collapsed="false">
      <c r="A472" s="10" t="s">
        <v>643</v>
      </c>
      <c r="B472" s="47" t="n">
        <f aca="false">B471*Inputs!$B$79</f>
        <v>0</v>
      </c>
      <c r="C472" s="47" t="n">
        <f aca="false">C471*Inputs!$B$79</f>
        <v>-0.714445714285714</v>
      </c>
      <c r="D472" s="47" t="n">
        <f aca="false">D471*Inputs!$B$79</f>
        <v>-0.216577142857143</v>
      </c>
      <c r="E472" s="47" t="n">
        <f aca="false">E471*Inputs!$B$79</f>
        <v>0.0595371428571429</v>
      </c>
      <c r="F472" s="47" t="n">
        <f aca="false">F471*Inputs!$B$79</f>
        <v>0.0897371428571429</v>
      </c>
    </row>
    <row r="473" customFormat="false" ht="15" hidden="false" customHeight="false" outlineLevel="0" collapsed="false">
      <c r="A473" s="13" t="s">
        <v>644</v>
      </c>
      <c r="B473" s="18" t="n">
        <f aca="false">B470+B469-B472-B468</f>
        <v>0</v>
      </c>
      <c r="C473" s="18" t="n">
        <f aca="false">C470+C469-C472-C468</f>
        <v>-2.66055428571429</v>
      </c>
      <c r="D473" s="18" t="n">
        <f aca="false">D470+D469-D472-D468</f>
        <v>-1.03342285714286</v>
      </c>
      <c r="E473" s="18" t="n">
        <f aca="false">E470+E469-E472-E468</f>
        <v>0.315462857142857</v>
      </c>
      <c r="F473" s="18" t="n">
        <f aca="false">F470+F469-F472-F468</f>
        <v>0.410262857142857</v>
      </c>
    </row>
    <row r="474" customFormat="false" ht="15" hidden="false" customHeight="false" outlineLevel="0" collapsed="false">
      <c r="A474" s="10" t="s">
        <v>645</v>
      </c>
      <c r="B474" s="47" t="n">
        <f aca="false">$F$470*(1-Inputs!$B$79)+$F$469-$F$468</f>
        <v>0.482742857142857</v>
      </c>
    </row>
    <row r="475" customFormat="false" ht="15" hidden="false" customHeight="false" outlineLevel="0" collapsed="false">
      <c r="A475" s="10" t="s">
        <v>646</v>
      </c>
      <c r="B475" s="47" t="n">
        <f aca="false">SUMPRODUCT($C$473:$F$473,$C$527:$F$527)+$F$470*(1-Inputs!$B$79)*Inputs!$B$30*$F$527</f>
        <v>-1.84261840513332</v>
      </c>
    </row>
    <row r="476" customFormat="false" ht="15" hidden="false" customHeight="false" outlineLevel="0" collapsed="false">
      <c r="A476" s="10" t="s">
        <v>647</v>
      </c>
      <c r="B476" s="47" t="n">
        <f aca="false">SUMPRODUCT($C$473:$F$473,$C$527:$F$527)+$B$474*Inputs!$B$31*$F$527</f>
        <v>3.62522509796969</v>
      </c>
    </row>
    <row r="477" customFormat="false" ht="15" hidden="false" customHeight="false" outlineLevel="0" collapsed="false">
      <c r="A477" s="13" t="s">
        <v>648</v>
      </c>
      <c r="B477" s="18" t="n">
        <f aca="false">Inputs!$B$7*$B$475+(1-Inputs!$B$7)*$B$476</f>
        <v>0.891303346418186</v>
      </c>
    </row>
    <row r="479" customFormat="false" ht="15" hidden="false" customHeight="false" outlineLevel="0" collapsed="false">
      <c r="A479" s="8" t="s">
        <v>650</v>
      </c>
      <c r="B479" s="9" t="s">
        <v>495</v>
      </c>
      <c r="C479" s="9" t="s">
        <v>496</v>
      </c>
      <c r="D479" s="9" t="s">
        <v>497</v>
      </c>
      <c r="E479" s="9" t="s">
        <v>498</v>
      </c>
      <c r="F479" s="9" t="s">
        <v>499</v>
      </c>
    </row>
    <row r="480" customFormat="false" ht="15" hidden="false" customHeight="false" outlineLevel="0" collapsed="false">
      <c r="A480" s="10" t="s">
        <v>628</v>
      </c>
    </row>
    <row r="481" customFormat="false" ht="15" hidden="false" customHeight="false" outlineLevel="0" collapsed="false">
      <c r="A481" s="10" t="s">
        <v>629</v>
      </c>
    </row>
    <row r="482" customFormat="false" ht="15" hidden="false" customHeight="false" outlineLevel="0" collapsed="false">
      <c r="A482" s="10" t="s">
        <v>630</v>
      </c>
    </row>
    <row r="483" customFormat="false" ht="15" hidden="false" customHeight="false" outlineLevel="0" collapsed="false">
      <c r="A483" s="10" t="s">
        <v>631</v>
      </c>
      <c r="B483" s="26" t="n">
        <v>0</v>
      </c>
      <c r="C483" s="47" t="n">
        <f aca="false">Inputs!$B$76</f>
        <v>1</v>
      </c>
      <c r="D483" s="47" t="n">
        <f aca="false">Inputs!$B$76</f>
        <v>1</v>
      </c>
      <c r="E483" s="47" t="n">
        <f aca="false">Inputs!$B$76</f>
        <v>1</v>
      </c>
      <c r="F483" s="47" t="n">
        <f aca="false">Inputs!$B$76</f>
        <v>1</v>
      </c>
    </row>
    <row r="484" customFormat="false" ht="15" hidden="false" customHeight="false" outlineLevel="0" collapsed="false">
      <c r="A484" s="10" t="s">
        <v>632</v>
      </c>
    </row>
    <row r="485" customFormat="false" ht="15" hidden="false" customHeight="false" outlineLevel="0" collapsed="false">
      <c r="A485" s="10" t="s">
        <v>633</v>
      </c>
    </row>
    <row r="486" customFormat="false" ht="15" hidden="false" customHeight="false" outlineLevel="0" collapsed="false">
      <c r="A486" s="10" t="s">
        <v>634</v>
      </c>
    </row>
    <row r="487" customFormat="false" ht="15" hidden="false" customHeight="false" outlineLevel="0" collapsed="false">
      <c r="A487" s="10" t="s">
        <v>635</v>
      </c>
      <c r="B487" s="47" t="n">
        <f aca="false">-B490</f>
        <v>-0</v>
      </c>
      <c r="C487" s="47" t="n">
        <f aca="false">-C490</f>
        <v>-0.236421725239617</v>
      </c>
      <c r="D487" s="47" t="n">
        <f aca="false">-D490</f>
        <v>-0.236421725239617</v>
      </c>
      <c r="E487" s="47" t="n">
        <f aca="false">-E490</f>
        <v>-0.236421725239617</v>
      </c>
      <c r="F487" s="47" t="n">
        <f aca="false">-F490</f>
        <v>-0.236421725239617</v>
      </c>
    </row>
    <row r="488" customFormat="false" ht="15" hidden="false" customHeight="false" outlineLevel="0" collapsed="false">
      <c r="A488" s="10" t="s">
        <v>636</v>
      </c>
      <c r="B488" s="26" t="n">
        <v>0</v>
      </c>
      <c r="C488" s="26" t="n">
        <v>0</v>
      </c>
      <c r="D488" s="26" t="n">
        <v>0</v>
      </c>
      <c r="E488" s="26" t="n">
        <v>0</v>
      </c>
      <c r="F488" s="26" t="n">
        <v>0</v>
      </c>
    </row>
    <row r="489" customFormat="false" ht="15" hidden="false" customHeight="false" outlineLevel="0" collapsed="false">
      <c r="A489" s="10" t="s">
        <v>637</v>
      </c>
      <c r="B489" s="26" t="n">
        <v>0</v>
      </c>
      <c r="C489" s="26" t="n">
        <v>0</v>
      </c>
      <c r="D489" s="26" t="n">
        <v>0</v>
      </c>
      <c r="E489" s="26" t="n">
        <v>0</v>
      </c>
      <c r="F489" s="26" t="n">
        <v>0</v>
      </c>
    </row>
    <row r="490" customFormat="false" ht="15" hidden="false" customHeight="false" outlineLevel="0" collapsed="false">
      <c r="A490" s="10" t="s">
        <v>638</v>
      </c>
      <c r="B490" s="47" t="n">
        <f aca="false">B483*Inputs!$B$77</f>
        <v>0</v>
      </c>
      <c r="C490" s="47" t="n">
        <f aca="false">C483*Inputs!$B$77</f>
        <v>0.236421725239617</v>
      </c>
      <c r="D490" s="47" t="n">
        <f aca="false">D483*Inputs!$B$77</f>
        <v>0.236421725239617</v>
      </c>
      <c r="E490" s="47" t="n">
        <f aca="false">E483*Inputs!$B$77</f>
        <v>0.236421725239617</v>
      </c>
      <c r="F490" s="47" t="n">
        <f aca="false">F483*Inputs!$B$77</f>
        <v>0.236421725239617</v>
      </c>
    </row>
    <row r="491" customFormat="false" ht="15" hidden="false" customHeight="false" outlineLevel="0" collapsed="false">
      <c r="A491" s="10" t="s">
        <v>639</v>
      </c>
      <c r="B491" s="47" t="n">
        <f aca="false">B488-B489-B490</f>
        <v>0</v>
      </c>
      <c r="C491" s="47" t="n">
        <f aca="false">C488-C489-C490</f>
        <v>-0.236421725239617</v>
      </c>
      <c r="D491" s="47" t="n">
        <f aca="false">D488-D489-D490</f>
        <v>-0.236421725239617</v>
      </c>
      <c r="E491" s="47" t="n">
        <f aca="false">E488-E489-E490</f>
        <v>-0.236421725239617</v>
      </c>
      <c r="F491" s="47" t="n">
        <f aca="false">F488-F489-F490</f>
        <v>-0.236421725239617</v>
      </c>
    </row>
    <row r="492" customFormat="false" ht="15" hidden="false" customHeight="false" outlineLevel="0" collapsed="false">
      <c r="A492" s="10" t="s">
        <v>640</v>
      </c>
      <c r="B492" s="26" t="n">
        <v>0</v>
      </c>
      <c r="C492" s="47" t="n">
        <f aca="false">C491*0.5/Inputs!$B$47</f>
        <v>-0.0168872660885441</v>
      </c>
      <c r="D492" s="47" t="n">
        <f aca="false">C491*IF(1&lt;=Inputs!$B$47-1,1,IF(1=Inputs!$B$47,0.5,0))/Inputs!$B$47+D491*0.5/Inputs!$B$47</f>
        <v>-0.0506617982656322</v>
      </c>
      <c r="E492" s="47" t="n">
        <f aca="false">C491*IF(2&lt;=Inputs!$B$47-1,1,IF(2=Inputs!$B$47,0.5,0))/Inputs!$B$47+D491*IF(1&lt;=Inputs!$B$47-1,1,IF(1=Inputs!$B$47,0.5,0))/Inputs!$B$47+E491*0.5/Inputs!$B$47</f>
        <v>-0.0844363304427202</v>
      </c>
      <c r="F492" s="47" t="n">
        <f aca="false">C491*IF(3&lt;=Inputs!$B$47-1,1,IF(3=Inputs!$B$47,0.5,0))/Inputs!$B$47+D491*IF(2&lt;=Inputs!$B$47-1,1,IF(2=Inputs!$B$47,0.5,0))/Inputs!$B$47+E491*IF(1&lt;=Inputs!$B$47-1,1,IF(1=Inputs!$B$47,0.5,0))/Inputs!$B$47+F491*0.5/Inputs!$B$47</f>
        <v>-0.118210862619808</v>
      </c>
      <c r="G492" s="6" t="s">
        <v>651</v>
      </c>
    </row>
    <row r="493" customFormat="false" ht="15" hidden="false" customHeight="false" outlineLevel="0" collapsed="false">
      <c r="A493" s="13" t="s">
        <v>641</v>
      </c>
      <c r="B493" s="18" t="n">
        <f aca="false">B487-B492</f>
        <v>-0</v>
      </c>
      <c r="C493" s="18" t="n">
        <f aca="false">C487-C492</f>
        <v>-0.219534459151073</v>
      </c>
      <c r="D493" s="18" t="n">
        <f aca="false">D487-D492</f>
        <v>-0.185759926973985</v>
      </c>
      <c r="E493" s="18" t="n">
        <f aca="false">E487-E492</f>
        <v>-0.151985394796896</v>
      </c>
      <c r="F493" s="18" t="n">
        <f aca="false">F487-F492</f>
        <v>-0.118210862619808</v>
      </c>
    </row>
    <row r="494" customFormat="false" ht="15" hidden="false" customHeight="false" outlineLevel="0" collapsed="false">
      <c r="A494" s="10" t="s">
        <v>642</v>
      </c>
      <c r="B494" s="47" t="n">
        <f aca="false">B487-(Inputs!$B$37*B491+(1-Inputs!$B$37)*B492)</f>
        <v>-0</v>
      </c>
      <c r="C494" s="47" t="n">
        <f aca="false">C487-(Inputs!$B$37*C491+(1-Inputs!$B$37)*C492)</f>
        <v>-0.0658603377453218</v>
      </c>
      <c r="D494" s="47" t="n">
        <f aca="false">D487-(Inputs!$B$37*D491+(1-Inputs!$B$37)*D492)</f>
        <v>-0.0557279780921954</v>
      </c>
      <c r="E494" s="47" t="n">
        <f aca="false">E487-(Inputs!$B$37*E491+(1-Inputs!$B$37)*E492)</f>
        <v>-0.0455956184390689</v>
      </c>
      <c r="F494" s="47" t="n">
        <f aca="false">F487-(Inputs!$B$37*F491+(1-Inputs!$B$37)*F492)</f>
        <v>-0.0354632587859425</v>
      </c>
    </row>
    <row r="495" customFormat="false" ht="15" hidden="false" customHeight="false" outlineLevel="0" collapsed="false">
      <c r="A495" s="10" t="s">
        <v>643</v>
      </c>
      <c r="B495" s="47" t="n">
        <f aca="false">B494*Inputs!$B$79</f>
        <v>-0</v>
      </c>
      <c r="C495" s="47" t="n">
        <f aca="false">C494*Inputs!$B$79</f>
        <v>-0.0159118575992697</v>
      </c>
      <c r="D495" s="47" t="n">
        <f aca="false">D494*Inputs!$B$79</f>
        <v>-0.0134638795070744</v>
      </c>
      <c r="E495" s="47" t="n">
        <f aca="false">E494*Inputs!$B$79</f>
        <v>-0.0110159014148791</v>
      </c>
      <c r="F495" s="47" t="n">
        <f aca="false">F494*Inputs!$B$79</f>
        <v>-0.00856792332268371</v>
      </c>
    </row>
    <row r="496" customFormat="false" ht="15" hidden="false" customHeight="false" outlineLevel="0" collapsed="false">
      <c r="A496" s="13" t="s">
        <v>644</v>
      </c>
      <c r="B496" s="18" t="n">
        <f aca="false">B493+B492-B495-B491</f>
        <v>0</v>
      </c>
      <c r="C496" s="18" t="n">
        <f aca="false">C493+C492-C495-C491</f>
        <v>0.0159118575992697</v>
      </c>
      <c r="D496" s="18" t="n">
        <f aca="false">D493+D492-D495-D491</f>
        <v>0.0134638795070744</v>
      </c>
      <c r="E496" s="18" t="n">
        <f aca="false">E493+E492-E495-E491</f>
        <v>0.011015901414879</v>
      </c>
      <c r="F496" s="18" t="n">
        <f aca="false">F493+F492-F495-F491</f>
        <v>0.00856792332268372</v>
      </c>
    </row>
    <row r="497" customFormat="false" ht="15" hidden="false" customHeight="false" outlineLevel="0" collapsed="false">
      <c r="A497" s="10" t="s">
        <v>645</v>
      </c>
      <c r="B497" s="47" t="n">
        <f aca="false">$F$493*(1-Inputs!$B$79)+$F$492-$F$491</f>
        <v>0.0285597444089457</v>
      </c>
    </row>
    <row r="498" customFormat="false" ht="15" hidden="false" customHeight="false" outlineLevel="0" collapsed="false">
      <c r="A498" s="10" t="s">
        <v>646</v>
      </c>
      <c r="B498" s="47" t="n">
        <f aca="false">SUMPRODUCT($C$496:$F$496,$C$527:$F$527)+$F$493*(1-Inputs!$B$79)*Inputs!$B$30*$F$527</f>
        <v>-1.43743792866456</v>
      </c>
    </row>
    <row r="499" customFormat="false" ht="15" hidden="false" customHeight="false" outlineLevel="0" collapsed="false">
      <c r="A499" s="10" t="s">
        <v>647</v>
      </c>
      <c r="B499" s="47" t="n">
        <f aca="false">SUMPRODUCT($C$496:$F$496,$C$527:$F$527)+$B$497*Inputs!$B$31*$F$527</f>
        <v>0.415225047257938</v>
      </c>
    </row>
    <row r="500" customFormat="false" ht="15" hidden="false" customHeight="false" outlineLevel="0" collapsed="false">
      <c r="A500" s="13" t="s">
        <v>648</v>
      </c>
      <c r="B500" s="18" t="n">
        <f aca="false">Inputs!$B$7*$B$498+(1-Inputs!$B$7)*$B$499</f>
        <v>-0.511106440703309</v>
      </c>
    </row>
    <row r="502" customFormat="false" ht="15" hidden="false" customHeight="false" outlineLevel="0" collapsed="false">
      <c r="A502" s="8" t="s">
        <v>62</v>
      </c>
      <c r="B502" s="9" t="s">
        <v>495</v>
      </c>
      <c r="C502" s="9" t="s">
        <v>496</v>
      </c>
      <c r="D502" s="9" t="s">
        <v>497</v>
      </c>
      <c r="E502" s="9" t="s">
        <v>498</v>
      </c>
      <c r="F502" s="9" t="s">
        <v>499</v>
      </c>
    </row>
    <row r="503" customFormat="false" ht="15" hidden="false" customHeight="false" outlineLevel="0" collapsed="false">
      <c r="A503" s="13" t="s">
        <v>108</v>
      </c>
      <c r="B503" s="18" t="n">
        <f aca="false">B8+B119+B437-B483</f>
        <v>153.652</v>
      </c>
      <c r="C503" s="18" t="n">
        <f aca="false">C8+C119+C437-C483</f>
        <v>195.11422</v>
      </c>
      <c r="D503" s="18" t="n">
        <f aca="false">D8+D119+D437-D483</f>
        <v>221.5882764</v>
      </c>
      <c r="E503" s="18" t="n">
        <f aca="false">E8+E119+E437-E483</f>
        <v>246.507956568</v>
      </c>
      <c r="F503" s="18" t="n">
        <f aca="false">F8+F119+F437-F483</f>
        <v>270.90836334616</v>
      </c>
    </row>
    <row r="504" customFormat="false" ht="15" hidden="false" customHeight="false" outlineLevel="0" collapsed="false">
      <c r="A504" s="13" t="s">
        <v>513</v>
      </c>
      <c r="B504" s="18" t="n">
        <f aca="false">B20+B129+B447+B493</f>
        <v>5.206</v>
      </c>
      <c r="C504" s="18" t="n">
        <f aca="false">C20+C129+C447+C493</f>
        <v>12.9338388688608</v>
      </c>
      <c r="D504" s="18" t="n">
        <f aca="false">D20+D129+D447+D493</f>
        <v>10.5521767778474</v>
      </c>
      <c r="E504" s="18" t="n">
        <f aca="false">E20+E129+E447+E493</f>
        <v>5.98271733827969</v>
      </c>
      <c r="F504" s="18" t="n">
        <f aca="false">F20+F129+F447+F493</f>
        <v>3.60385582357316</v>
      </c>
    </row>
    <row r="505" customFormat="false" ht="15" hidden="false" customHeight="false" outlineLevel="0" collapsed="false">
      <c r="A505" s="10" t="s">
        <v>514</v>
      </c>
      <c r="B505" s="19" t="n">
        <f aca="false">IFERROR(B504/B503,0)</f>
        <v>0.0338817587795798</v>
      </c>
      <c r="C505" s="19" t="n">
        <f aca="false">IFERROR(C504/C503,0)</f>
        <v>0.0662885507210123</v>
      </c>
      <c r="D505" s="19" t="n">
        <f aca="false">IFERROR(D504/D503,0)</f>
        <v>0.0476206455922745</v>
      </c>
      <c r="E505" s="19" t="n">
        <f aca="false">IFERROR(E504/E503,0)</f>
        <v>0.0242698751860747</v>
      </c>
      <c r="F505" s="19" t="n">
        <f aca="false">IFERROR(F504/F503,0)</f>
        <v>0.0133028592364579</v>
      </c>
    </row>
    <row r="506" customFormat="false" ht="15" hidden="false" customHeight="false" outlineLevel="0" collapsed="false">
      <c r="A506" s="10" t="s">
        <v>616</v>
      </c>
      <c r="B506" s="47" t="n">
        <f aca="false">B25+B131+B445+B491</f>
        <v>108.069</v>
      </c>
      <c r="C506" s="47" t="n">
        <f aca="false">C25+C131+C445+C491</f>
        <v>125.63333587476</v>
      </c>
      <c r="D506" s="47" t="n">
        <f aca="false">D25+D131+D445+D491</f>
        <v>124.615486320094</v>
      </c>
      <c r="E506" s="47" t="n">
        <f aca="false">E25+E131+E445+E491</f>
        <v>107.996788758067</v>
      </c>
      <c r="F506" s="47" t="n">
        <f aca="false">F25+F131+F445+F491</f>
        <v>78.8088210832612</v>
      </c>
    </row>
    <row r="507" customFormat="false" ht="15" hidden="false" customHeight="false" outlineLevel="0" collapsed="false">
      <c r="A507" s="10" t="s">
        <v>652</v>
      </c>
      <c r="B507" s="47" t="n">
        <f aca="false">B44+B148+B449+B495</f>
        <v>0.0621</v>
      </c>
      <c r="C507" s="47" t="n">
        <f aca="false">C44+C148+C449+C495</f>
        <v>-0.37831185759927</v>
      </c>
      <c r="D507" s="47" t="n">
        <f aca="false">D44+D148+D449+D495</f>
        <v>0.228136120492926</v>
      </c>
      <c r="E507" s="47" t="n">
        <f aca="false">E44+E148+E449+E495</f>
        <v>0.351384098585121</v>
      </c>
      <c r="F507" s="47" t="n">
        <f aca="false">F44+F148+F449+F495</f>
        <v>0.542995661591584</v>
      </c>
    </row>
    <row r="508" customFormat="false" ht="15" hidden="false" customHeight="false" outlineLevel="0" collapsed="false">
      <c r="A508" s="13" t="s">
        <v>653</v>
      </c>
      <c r="B508" s="18" t="n">
        <f aca="false">B49+B153+B450+B496</f>
        <v>-39.2731</v>
      </c>
      <c r="C508" s="18" t="n">
        <f aca="false">C49+C153+C450+C496</f>
        <v>-77.5829797424008</v>
      </c>
      <c r="D508" s="18" t="n">
        <f aca="false">D49+D153+D450+D496</f>
        <v>-66.0268644391596</v>
      </c>
      <c r="E508" s="18" t="n">
        <f aca="false">E49+E153+E450+E496</f>
        <v>-41.7941103266918</v>
      </c>
      <c r="F508" s="18" t="n">
        <f aca="false">F49+F153+F450+F496</f>
        <v>-6.12116508016838</v>
      </c>
    </row>
    <row r="509" customFormat="false" ht="15" hidden="false" customHeight="false" outlineLevel="0" collapsed="false">
      <c r="A509" s="10" t="s">
        <v>543</v>
      </c>
      <c r="C509" s="47" t="n">
        <f aca="false">C50+C154+C450+C496</f>
        <v>-66.2126949424008</v>
      </c>
      <c r="D509" s="47" t="n">
        <f aca="false">D50+D154+D450+D496</f>
        <v>-52.7032825831596</v>
      </c>
      <c r="E509" s="47" t="n">
        <f aca="false">E50+E154+E450+E496</f>
        <v>-26.6882454639718</v>
      </c>
      <c r="F509" s="47" t="n">
        <f aca="false">F50+F154+F450+F496</f>
        <v>10.656307531678</v>
      </c>
      <c r="G509" s="6" t="s">
        <v>654</v>
      </c>
    </row>
    <row r="510" customFormat="false" ht="15" hidden="false" customHeight="false" outlineLevel="0" collapsed="false">
      <c r="A510" s="10" t="s">
        <v>544</v>
      </c>
      <c r="C510" s="47" t="n">
        <f aca="false">B521</f>
        <v>99.2039246231156</v>
      </c>
      <c r="D510" s="47" t="n">
        <f aca="false">C521</f>
        <v>32.7278450746705</v>
      </c>
      <c r="E510" s="47" t="n">
        <f aca="false">D521</f>
        <v>15</v>
      </c>
      <c r="F510" s="47" t="n">
        <f aca="false">E521</f>
        <v>15</v>
      </c>
    </row>
    <row r="511" customFormat="false" ht="15" hidden="false" customHeight="false" outlineLevel="0" collapsed="false">
      <c r="A511" s="10" t="s">
        <v>545</v>
      </c>
      <c r="C511" s="47" t="n">
        <f aca="false">B522</f>
        <v>48.367</v>
      </c>
      <c r="D511" s="47" t="n">
        <f aca="false">C522</f>
        <v>48.367</v>
      </c>
      <c r="E511" s="47" t="n">
        <f aca="false">D522</f>
        <v>86.8283547989538</v>
      </c>
      <c r="F511" s="47" t="n">
        <f aca="false">E522</f>
        <v>119.430382665526</v>
      </c>
    </row>
    <row r="512" customFormat="false" ht="15" hidden="false" customHeight="false" outlineLevel="0" collapsed="false">
      <c r="A512" s="10" t="s">
        <v>546</v>
      </c>
      <c r="C512" s="47" t="n">
        <f aca="false">Inputs!$B$62+Inputs!$B$63</f>
        <v>0</v>
      </c>
      <c r="D512" s="26" t="n">
        <v>0</v>
      </c>
      <c r="E512" s="26" t="n">
        <v>0</v>
      </c>
      <c r="F512" s="26" t="n">
        <v>0</v>
      </c>
    </row>
    <row r="513" customFormat="false" ht="15" hidden="false" customHeight="false" outlineLevel="0" collapsed="false">
      <c r="A513" s="10" t="s">
        <v>547</v>
      </c>
      <c r="C513" s="47" t="n">
        <f aca="false">(C510+C509-C512+Inputs!$B$60*C510/2-Inputs!$B$61*(C511-C512/2))/(1-Inputs!$B$60/2)</f>
        <v>32.7278450746705</v>
      </c>
      <c r="D513" s="47" t="n">
        <f aca="false">(D510+D509-D512+Inputs!$B$60*D510/2-Inputs!$B$61*(D511-D512/2))/(1-Inputs!$B$60/2)</f>
        <v>-22.6764291908119</v>
      </c>
      <c r="E513" s="47" t="n">
        <f aca="false">(E510+E509-E512+Inputs!$B$60*E510/2-Inputs!$B$61*(E511-E512/2))/(1-Inputs!$B$60/2)</f>
        <v>-16.9366803590908</v>
      </c>
      <c r="F513" s="47" t="n">
        <f aca="false">(F510+F509-F512+Inputs!$B$60*F510/2-Inputs!$B$61*(F511-F512/2))/(1-Inputs!$B$60/2)</f>
        <v>19.1739638487209</v>
      </c>
    </row>
    <row r="514" customFormat="false" ht="15" hidden="false" customHeight="false" outlineLevel="0" collapsed="false">
      <c r="A514" s="10" t="s">
        <v>548</v>
      </c>
      <c r="C514" s="47" t="n">
        <f aca="false">IF(C513&gt;=Inputs!$B$68,0,(Inputs!$B$68-C510-C509+C512-Inputs!$B$60*(C510+Inputs!$B$68)/2+Inputs!$B$61*(C511-C512/2))/(1-Inputs!$B$61*Inputs!$B$69/(2*(1-Inputs!$B$70))))</f>
        <v>0</v>
      </c>
      <c r="D514" s="47" t="n">
        <f aca="false">IF(D513&gt;=Inputs!$B$68,0,(Inputs!$B$68-D510-D509+D512-Inputs!$B$60*(D510+Inputs!$B$68)/2+Inputs!$B$61*(D511-D512/2))/(1-Inputs!$B$61*Inputs!$B$69/(2*(1-Inputs!$B$70))))</f>
        <v>38.0767412509643</v>
      </c>
      <c r="E514" s="47" t="n">
        <f aca="false">IF(E513&gt;=Inputs!$B$68,0,(Inputs!$B$68-E510-E509+E512-Inputs!$B$60*(E510+Inputs!$B$68)/2+Inputs!$B$61*(E511-E512/2))/(1-Inputs!$B$61*Inputs!$B$69/(2*(1-Inputs!$B$70))))</f>
        <v>32.2760075879062</v>
      </c>
      <c r="F514" s="47" t="n">
        <f aca="false">IF(F513&gt;=Inputs!$B$68,0,(Inputs!$B$68-F510-F509+F512-Inputs!$B$60*(F510+Inputs!$B$68)/2+Inputs!$B$61*(F511-F512/2))/(1-Inputs!$B$61*Inputs!$B$69/(2*(1-Inputs!$B$70))))</f>
        <v>0</v>
      </c>
    </row>
    <row r="515" customFormat="false" ht="15" hidden="false" customHeight="false" outlineLevel="0" collapsed="false">
      <c r="A515" s="10" t="s">
        <v>549</v>
      </c>
      <c r="C515" s="47" t="n">
        <f aca="false">C514/(1-Inputs!$B$70)</f>
        <v>0</v>
      </c>
      <c r="D515" s="47" t="n">
        <f aca="false">D514/(1-Inputs!$B$70)</f>
        <v>38.4613547989538</v>
      </c>
      <c r="E515" s="47" t="n">
        <f aca="false">E514/(1-Inputs!$B$70)</f>
        <v>32.6020278665719</v>
      </c>
      <c r="F515" s="47" t="n">
        <f aca="false">F514/(1-Inputs!$B$70)</f>
        <v>0</v>
      </c>
    </row>
    <row r="516" customFormat="false" ht="15" hidden="false" customHeight="false" outlineLevel="0" collapsed="false">
      <c r="A516" s="10" t="s">
        <v>550</v>
      </c>
      <c r="C516" s="47" t="n">
        <f aca="false">C515*Inputs!$B$69</f>
        <v>0</v>
      </c>
      <c r="D516" s="47" t="n">
        <f aca="false">D515*Inputs!$B$69</f>
        <v>38.4613547989538</v>
      </c>
      <c r="E516" s="47" t="n">
        <f aca="false">E515*Inputs!$B$69</f>
        <v>32.6020278665719</v>
      </c>
      <c r="F516" s="47" t="n">
        <f aca="false">F515*Inputs!$B$69</f>
        <v>0</v>
      </c>
    </row>
    <row r="517" customFormat="false" ht="15" hidden="false" customHeight="false" outlineLevel="0" collapsed="false">
      <c r="A517" s="10" t="s">
        <v>551</v>
      </c>
      <c r="C517" s="47" t="n">
        <f aca="false">C515-C516</f>
        <v>0</v>
      </c>
      <c r="D517" s="47" t="n">
        <f aca="false">D515-D516</f>
        <v>0</v>
      </c>
      <c r="E517" s="47" t="n">
        <f aca="false">E515-E516</f>
        <v>0</v>
      </c>
      <c r="F517" s="47" t="n">
        <f aca="false">F515-F516</f>
        <v>0</v>
      </c>
    </row>
    <row r="518" customFormat="false" ht="15" hidden="false" customHeight="false" outlineLevel="0" collapsed="false">
      <c r="A518" s="10" t="s">
        <v>552</v>
      </c>
      <c r="C518" s="47" t="n">
        <f aca="false">C515-C514</f>
        <v>0</v>
      </c>
      <c r="D518" s="47" t="n">
        <f aca="false">D515-D514</f>
        <v>0.384613547989538</v>
      </c>
      <c r="E518" s="47" t="n">
        <f aca="false">E515-E514</f>
        <v>0.326020278665716</v>
      </c>
      <c r="F518" s="47" t="n">
        <f aca="false">F515-F514</f>
        <v>0</v>
      </c>
    </row>
    <row r="519" customFormat="false" ht="15" hidden="false" customHeight="false" outlineLevel="0" collapsed="false">
      <c r="A519" s="10" t="s">
        <v>553</v>
      </c>
      <c r="C519" s="47" t="n">
        <f aca="false">Inputs!$B$60*(C510+C521)/2</f>
        <v>2.63863539395572</v>
      </c>
      <c r="D519" s="47" t="n">
        <f aca="false">Inputs!$B$60*(D510+D521)/2</f>
        <v>0.954556901493411</v>
      </c>
      <c r="E519" s="47" t="n">
        <f aca="false">Inputs!$B$60*(E510+E521)/2</f>
        <v>0.6</v>
      </c>
      <c r="F519" s="47" t="n">
        <f aca="false">Inputs!$B$60*(F510+F521)/2</f>
        <v>0.683479276974418</v>
      </c>
    </row>
    <row r="520" customFormat="false" ht="15" hidden="false" customHeight="false" outlineLevel="0" collapsed="false">
      <c r="A520" s="10" t="s">
        <v>554</v>
      </c>
      <c r="C520" s="47" t="n">
        <f aca="false">Inputs!$B$61*(C511-C512/2+C516/2)</f>
        <v>2.90202</v>
      </c>
      <c r="D520" s="47" t="n">
        <f aca="false">Inputs!$B$61*(D511-D512/2+D516/2)</f>
        <v>4.05586064396861</v>
      </c>
      <c r="E520" s="47" t="n">
        <f aca="false">Inputs!$B$61*(E511-E512/2+E516/2)</f>
        <v>6.18776212393438</v>
      </c>
      <c r="F520" s="47" t="n">
        <f aca="false">Inputs!$B$61*(F511-F512/2+F516/2)</f>
        <v>7.16582295993154</v>
      </c>
    </row>
    <row r="521" customFormat="false" ht="15" hidden="false" customHeight="false" outlineLevel="0" collapsed="false">
      <c r="A521" s="13" t="s">
        <v>555</v>
      </c>
      <c r="B521" s="47" t="n">
        <f aca="false">B62+B166</f>
        <v>99.2039246231156</v>
      </c>
      <c r="C521" s="18" t="n">
        <f aca="false">IF(C514&gt;0,Inputs!$B$68,C513)</f>
        <v>32.7278450746705</v>
      </c>
      <c r="D521" s="18" t="n">
        <f aca="false">IF(D514&gt;0,Inputs!$B$68,D513)</f>
        <v>15</v>
      </c>
      <c r="E521" s="18" t="n">
        <f aca="false">IF(E514&gt;0,Inputs!$B$68,E513)</f>
        <v>15</v>
      </c>
      <c r="F521" s="18" t="n">
        <f aca="false">IF(F514&gt;0,Inputs!$B$68,F513)</f>
        <v>19.1739638487209</v>
      </c>
    </row>
    <row r="522" customFormat="false" ht="15" hidden="false" customHeight="false" outlineLevel="0" collapsed="false">
      <c r="A522" s="10" t="s">
        <v>556</v>
      </c>
      <c r="B522" s="47" t="n">
        <f aca="false">B63+B167</f>
        <v>48.367</v>
      </c>
      <c r="C522" s="47" t="n">
        <f aca="false">C511-C512+C516</f>
        <v>48.367</v>
      </c>
      <c r="D522" s="47" t="n">
        <f aca="false">D511-D512+D516</f>
        <v>86.8283547989538</v>
      </c>
      <c r="E522" s="47" t="n">
        <f aca="false">E511-E512+E516</f>
        <v>119.430382665526</v>
      </c>
      <c r="F522" s="47" t="n">
        <f aca="false">F511-F512+F516</f>
        <v>119.430382665526</v>
      </c>
    </row>
    <row r="523" customFormat="false" ht="15" hidden="false" customHeight="false" outlineLevel="0" collapsed="false">
      <c r="A523" s="13" t="s">
        <v>557</v>
      </c>
      <c r="B523" s="18" t="n">
        <f aca="false">B521-B522</f>
        <v>50.8369246231156</v>
      </c>
      <c r="C523" s="18" t="n">
        <f aca="false">C521-C522</f>
        <v>-15.6391549253295</v>
      </c>
      <c r="D523" s="18" t="n">
        <f aca="false">D521-D522</f>
        <v>-71.8283547989538</v>
      </c>
      <c r="E523" s="18" t="n">
        <f aca="false">E521-E522</f>
        <v>-104.430382665526</v>
      </c>
      <c r="F523" s="18" t="n">
        <f aca="false">F521-F522</f>
        <v>-100.256418816805</v>
      </c>
    </row>
    <row r="524" customFormat="false" ht="15" hidden="false" customHeight="false" outlineLevel="0" collapsed="false">
      <c r="A524" s="10" t="s">
        <v>558</v>
      </c>
      <c r="C524" s="33" t="n">
        <f aca="false">ROUND(C510+C509-C512+C519-C520+C514-C521,6)</f>
        <v>0</v>
      </c>
      <c r="D524" s="33" t="n">
        <f aca="false">ROUND(D510+D509-D512+D519-D520+D514-D521,6)</f>
        <v>0</v>
      </c>
      <c r="E524" s="33" t="n">
        <f aca="false">ROUND(E510+E509-E512+E519-E520+E514-E521,6)</f>
        <v>0</v>
      </c>
      <c r="F524" s="33" t="n">
        <f aca="false">ROUND(F510+F509-F512+F519-F520+F514-F521,6)</f>
        <v>0</v>
      </c>
    </row>
    <row r="525" customFormat="false" ht="15" hidden="false" customHeight="false" outlineLevel="0" collapsed="false">
      <c r="A525" s="10" t="s">
        <v>559</v>
      </c>
      <c r="B525" s="47" t="n">
        <f aca="false">B66+B170</f>
        <v>0</v>
      </c>
      <c r="C525" s="47" t="n">
        <f aca="false">B525+C515</f>
        <v>0</v>
      </c>
      <c r="D525" s="47" t="n">
        <f aca="false">C525+D515</f>
        <v>38.4613547989538</v>
      </c>
      <c r="E525" s="47" t="n">
        <f aca="false">D525+E515</f>
        <v>71.0633826655257</v>
      </c>
      <c r="F525" s="47" t="n">
        <f aca="false">E525+F515</f>
        <v>71.0633826655257</v>
      </c>
    </row>
    <row r="526" customFormat="false" ht="15" hidden="false" customHeight="false" outlineLevel="0" collapsed="false">
      <c r="A526" s="10" t="s">
        <v>560</v>
      </c>
      <c r="C526" s="49" t="str">
        <f aca="false">IF(C525&gt;Inputs!$B$74,"UNFUNDED: above limit",IF(C515&gt;0,"Raising","OK"))</f>
        <v>OK</v>
      </c>
      <c r="D526" s="49" t="str">
        <f aca="false">IF(D525&gt;Inputs!$B$74,"UNFUNDED: above limit",IF(D515&gt;0,"Raising","OK"))</f>
        <v>Raising</v>
      </c>
      <c r="E526" s="49" t="str">
        <f aca="false">IF(E525&gt;Inputs!$B$74,"UNFUNDED: above limit",IF(E515&gt;0,"Raising","OK"))</f>
        <v>Raising</v>
      </c>
      <c r="F526" s="49" t="str">
        <f aca="false">IF(F525&gt;Inputs!$B$74,"UNFUNDED: above limit",IF(F515&gt;0,"Raising","OK"))</f>
        <v>OK</v>
      </c>
    </row>
    <row r="527" customFormat="false" ht="15" hidden="false" customHeight="false" outlineLevel="0" collapsed="false">
      <c r="A527" s="10" t="s">
        <v>655</v>
      </c>
      <c r="C527" s="25" t="n">
        <f aca="false">1/(1+Inputs!$B$6)^1</f>
        <v>0.900900900900901</v>
      </c>
      <c r="D527" s="25" t="n">
        <f aca="false">1/(1+Inputs!$B$6)^2</f>
        <v>0.811622433244055</v>
      </c>
      <c r="E527" s="25" t="n">
        <f aca="false">1/(1+Inputs!$B$6)^3</f>
        <v>0.73119138130095</v>
      </c>
      <c r="F527" s="25" t="n">
        <f aca="false">1/(1+Inputs!$B$6)^4</f>
        <v>0.658730974145</v>
      </c>
    </row>
    <row r="529" customFormat="false" ht="15" hidden="false" customHeight="false" outlineLevel="0" collapsed="false">
      <c r="A529" s="8" t="s">
        <v>656</v>
      </c>
      <c r="B529" s="9" t="s">
        <v>495</v>
      </c>
      <c r="C529" s="9" t="s">
        <v>496</v>
      </c>
      <c r="D529" s="9" t="s">
        <v>497</v>
      </c>
      <c r="E529" s="9" t="s">
        <v>498</v>
      </c>
      <c r="F529" s="9" t="s">
        <v>499</v>
      </c>
    </row>
    <row r="530" customFormat="false" ht="15" hidden="false" customHeight="false" outlineLevel="0" collapsed="false">
      <c r="A530" s="10" t="s">
        <v>543</v>
      </c>
      <c r="C530" s="47" t="n">
        <f aca="false">C50+C154+C473+C496</f>
        <v>-67.735649228115</v>
      </c>
      <c r="D530" s="47" t="n">
        <f aca="false">D50+D154+D473+D496</f>
        <v>-54.4951054403024</v>
      </c>
      <c r="E530" s="47" t="n">
        <f aca="false">E50+E154+E473+E496</f>
        <v>-27.5103826068289</v>
      </c>
      <c r="F530" s="47" t="n">
        <f aca="false">F50+F154+F473+F496</f>
        <v>9.54977038882088</v>
      </c>
    </row>
    <row r="531" customFormat="false" ht="15" hidden="false" customHeight="false" outlineLevel="0" collapsed="false">
      <c r="A531" s="10" t="s">
        <v>544</v>
      </c>
      <c r="C531" s="47" t="n">
        <f aca="false">B542</f>
        <v>99.2039246231156</v>
      </c>
      <c r="D531" s="47" t="n">
        <f aca="false">C542</f>
        <v>31.1738100892478</v>
      </c>
      <c r="E531" s="47" t="n">
        <f aca="false">D542</f>
        <v>15</v>
      </c>
      <c r="F531" s="47" t="n">
        <f aca="false">E542</f>
        <v>15</v>
      </c>
    </row>
    <row r="532" customFormat="false" ht="15" hidden="false" customHeight="false" outlineLevel="0" collapsed="false">
      <c r="A532" s="10" t="s">
        <v>545</v>
      </c>
      <c r="C532" s="47" t="n">
        <f aca="false">B543</f>
        <v>48.367</v>
      </c>
      <c r="D532" s="47" t="n">
        <f aca="false">C543</f>
        <v>48.367</v>
      </c>
      <c r="E532" s="47" t="n">
        <f aca="false">D543</f>
        <v>90.3459991138226</v>
      </c>
      <c r="F532" s="47" t="n">
        <f aca="false">E543</f>
        <v>124.024272607217</v>
      </c>
    </row>
    <row r="533" customFormat="false" ht="15" hidden="false" customHeight="false" outlineLevel="0" collapsed="false">
      <c r="A533" s="10" t="s">
        <v>546</v>
      </c>
      <c r="C533" s="47" t="n">
        <f aca="false">Inputs!$B$62+Inputs!$B$63</f>
        <v>0</v>
      </c>
      <c r="D533" s="26" t="n">
        <v>0</v>
      </c>
      <c r="E533" s="26" t="n">
        <v>0</v>
      </c>
      <c r="F533" s="26" t="n">
        <v>0</v>
      </c>
    </row>
    <row r="534" customFormat="false" ht="15" hidden="false" customHeight="false" outlineLevel="0" collapsed="false">
      <c r="A534" s="10" t="s">
        <v>547</v>
      </c>
      <c r="C534" s="47" t="n">
        <f aca="false">(C531+C530-C533+Inputs!$B$60*C531/2-Inputs!$B$61*(C532-C533/2))/(1-Inputs!$B$60/2)</f>
        <v>31.1738100892478</v>
      </c>
      <c r="D534" s="47" t="n">
        <f aca="false">(D531+D530-D533+Inputs!$B$60*D531/2-Inputs!$B$61*(D532-D533/2))/(1-Inputs!$B$60/2)</f>
        <v>-26.1222848461936</v>
      </c>
      <c r="E534" s="47" t="n">
        <f aca="false">(E531+E530-E533+Inputs!$B$60*E531/2-Inputs!$B$61*(E532-E533/2))/(1-Inputs!$B$60/2)</f>
        <v>-17.9909617894472</v>
      </c>
      <c r="F534" s="47" t="n">
        <f aca="false">(F531+F530-F533+Inputs!$B$60*F531/2-Inputs!$B$61*(F532-F533/2))/(1-Inputs!$B$60/2)</f>
        <v>17.7635857473346</v>
      </c>
    </row>
    <row r="535" customFormat="false" ht="15" hidden="false" customHeight="false" outlineLevel="0" collapsed="false">
      <c r="A535" s="10" t="s">
        <v>548</v>
      </c>
      <c r="C535" s="47" t="n">
        <f aca="false">IF(C534&gt;=Inputs!$B$68,0,(Inputs!$B$68-C531-C530+C533-Inputs!$B$60*(C531+Inputs!$B$68)/2+Inputs!$B$61*(C532-C533/2))/(1-Inputs!$B$61*Inputs!$B$69/(2*(1-Inputs!$B$70))))</f>
        <v>0</v>
      </c>
      <c r="D535" s="47" t="n">
        <f aca="false">IF(D534&gt;=Inputs!$B$68,0,(Inputs!$B$68-D531-D530+D533-Inputs!$B$60*(D531+Inputs!$B$68)/2+Inputs!$B$61*(D532-D533/2))/(1-Inputs!$B$61*Inputs!$B$69/(2*(1-Inputs!$B$70))))</f>
        <v>41.5592091226844</v>
      </c>
      <c r="E535" s="47" t="n">
        <f aca="false">IF(E534&gt;=Inputs!$B$68,0,(Inputs!$B$68-E531-E530+E533-Inputs!$B$60*(E531+Inputs!$B$68)/2+Inputs!$B$61*(E532-E533/2))/(1-Inputs!$B$61*Inputs!$B$69/(2*(1-Inputs!$B$70))))</f>
        <v>33.3414907584601</v>
      </c>
      <c r="F535" s="47" t="n">
        <f aca="false">IF(F534&gt;=Inputs!$B$68,0,(Inputs!$B$68-F531-F530+F533-Inputs!$B$60*(F531+Inputs!$B$68)/2+Inputs!$B$61*(F532-F533/2))/(1-Inputs!$B$61*Inputs!$B$69/(2*(1-Inputs!$B$70))))</f>
        <v>0</v>
      </c>
    </row>
    <row r="536" customFormat="false" ht="15" hidden="false" customHeight="false" outlineLevel="0" collapsed="false">
      <c r="A536" s="10" t="s">
        <v>549</v>
      </c>
      <c r="C536" s="47" t="n">
        <f aca="false">C535/(1-Inputs!$B$70)</f>
        <v>0</v>
      </c>
      <c r="D536" s="47" t="n">
        <f aca="false">D535/(1-Inputs!$B$70)</f>
        <v>41.9789991138226</v>
      </c>
      <c r="E536" s="47" t="n">
        <f aca="false">E535/(1-Inputs!$B$70)</f>
        <v>33.678273493394</v>
      </c>
      <c r="F536" s="47" t="n">
        <f aca="false">F535/(1-Inputs!$B$70)</f>
        <v>0</v>
      </c>
    </row>
    <row r="537" customFormat="false" ht="15" hidden="false" customHeight="false" outlineLevel="0" collapsed="false">
      <c r="A537" s="10" t="s">
        <v>550</v>
      </c>
      <c r="C537" s="47" t="n">
        <f aca="false">C536*Inputs!$B$69</f>
        <v>0</v>
      </c>
      <c r="D537" s="47" t="n">
        <f aca="false">D536*Inputs!$B$69</f>
        <v>41.9789991138226</v>
      </c>
      <c r="E537" s="47" t="n">
        <f aca="false">E536*Inputs!$B$69</f>
        <v>33.678273493394</v>
      </c>
      <c r="F537" s="47" t="n">
        <f aca="false">F536*Inputs!$B$69</f>
        <v>0</v>
      </c>
    </row>
    <row r="538" customFormat="false" ht="15" hidden="false" customHeight="false" outlineLevel="0" collapsed="false">
      <c r="A538" s="10" t="s">
        <v>551</v>
      </c>
      <c r="C538" s="47" t="n">
        <f aca="false">C536-C537</f>
        <v>0</v>
      </c>
      <c r="D538" s="47" t="n">
        <f aca="false">D536-D537</f>
        <v>0</v>
      </c>
      <c r="E538" s="47" t="n">
        <f aca="false">E536-E537</f>
        <v>0</v>
      </c>
      <c r="F538" s="47" t="n">
        <f aca="false">F536-F537</f>
        <v>0</v>
      </c>
    </row>
    <row r="539" customFormat="false" ht="15" hidden="false" customHeight="false" outlineLevel="0" collapsed="false">
      <c r="A539" s="10" t="s">
        <v>552</v>
      </c>
      <c r="C539" s="47" t="n">
        <f aca="false">C536-C535</f>
        <v>0</v>
      </c>
      <c r="D539" s="47" t="n">
        <f aca="false">D536-D535</f>
        <v>0.419789991138224</v>
      </c>
      <c r="E539" s="47" t="n">
        <f aca="false">E536-E535</f>
        <v>0.336782734933941</v>
      </c>
      <c r="F539" s="47" t="n">
        <f aca="false">F536-F535</f>
        <v>0</v>
      </c>
    </row>
    <row r="540" customFormat="false" ht="15" hidden="false" customHeight="false" outlineLevel="0" collapsed="false">
      <c r="A540" s="10" t="s">
        <v>553</v>
      </c>
      <c r="C540" s="47" t="n">
        <f aca="false">Inputs!$B$60*(C531+C542)/2</f>
        <v>2.60755469424727</v>
      </c>
      <c r="D540" s="47" t="n">
        <f aca="false">Inputs!$B$60*(D531+D542)/2</f>
        <v>0.923476201784956</v>
      </c>
      <c r="E540" s="47" t="n">
        <f aca="false">Inputs!$B$60*(E531+E542)/2</f>
        <v>0.6</v>
      </c>
      <c r="F540" s="47" t="n">
        <f aca="false">Inputs!$B$60*(F531+F542)/2</f>
        <v>0.655271714946692</v>
      </c>
    </row>
    <row r="541" customFormat="false" ht="15" hidden="false" customHeight="false" outlineLevel="0" collapsed="false">
      <c r="A541" s="10" t="s">
        <v>554</v>
      </c>
      <c r="C541" s="47" t="n">
        <f aca="false">Inputs!$B$61*(C532-C533/2+C537/2)</f>
        <v>2.90202</v>
      </c>
      <c r="D541" s="47" t="n">
        <f aca="false">Inputs!$B$61*(D532-D533/2+D537/2)</f>
        <v>4.16138997341468</v>
      </c>
      <c r="E541" s="47" t="n">
        <f aca="false">Inputs!$B$61*(E532-E533/2+E537/2)</f>
        <v>6.43110815163118</v>
      </c>
      <c r="F541" s="47" t="n">
        <f aca="false">Inputs!$B$61*(F532-F533/2+F537/2)</f>
        <v>7.441456356433</v>
      </c>
    </row>
    <row r="542" customFormat="false" ht="15" hidden="false" customHeight="false" outlineLevel="0" collapsed="false">
      <c r="A542" s="13" t="s">
        <v>555</v>
      </c>
      <c r="B542" s="47" t="n">
        <f aca="false">B62+B166</f>
        <v>99.2039246231156</v>
      </c>
      <c r="C542" s="18" t="n">
        <f aca="false">IF(C535&gt;0,Inputs!$B$68,C534)</f>
        <v>31.1738100892478</v>
      </c>
      <c r="D542" s="18" t="n">
        <f aca="false">IF(D535&gt;0,Inputs!$B$68,D534)</f>
        <v>15</v>
      </c>
      <c r="E542" s="18" t="n">
        <f aca="false">IF(E535&gt;0,Inputs!$B$68,E534)</f>
        <v>15</v>
      </c>
      <c r="F542" s="18" t="n">
        <f aca="false">IF(F535&gt;0,Inputs!$B$68,F534)</f>
        <v>17.7635857473346</v>
      </c>
    </row>
    <row r="543" customFormat="false" ht="15" hidden="false" customHeight="false" outlineLevel="0" collapsed="false">
      <c r="A543" s="10" t="s">
        <v>556</v>
      </c>
      <c r="B543" s="47" t="n">
        <f aca="false">B63+B167</f>
        <v>48.367</v>
      </c>
      <c r="C543" s="47" t="n">
        <f aca="false">C532-C533+C537</f>
        <v>48.367</v>
      </c>
      <c r="D543" s="47" t="n">
        <f aca="false">D532-D533+D537</f>
        <v>90.3459991138226</v>
      </c>
      <c r="E543" s="47" t="n">
        <f aca="false">E532-E533+E537</f>
        <v>124.024272607217</v>
      </c>
      <c r="F543" s="47" t="n">
        <f aca="false">F532-F533+F537</f>
        <v>124.024272607217</v>
      </c>
    </row>
    <row r="544" customFormat="false" ht="15" hidden="false" customHeight="false" outlineLevel="0" collapsed="false">
      <c r="A544" s="13" t="s">
        <v>557</v>
      </c>
      <c r="B544" s="18" t="n">
        <f aca="false">B542-B543</f>
        <v>50.8369246231156</v>
      </c>
      <c r="C544" s="18" t="n">
        <f aca="false">C542-C543</f>
        <v>-17.1931899107522</v>
      </c>
      <c r="D544" s="18" t="n">
        <f aca="false">D542-D543</f>
        <v>-75.3459991138226</v>
      </c>
      <c r="E544" s="18" t="n">
        <f aca="false">E542-E543</f>
        <v>-109.024272607217</v>
      </c>
      <c r="F544" s="18" t="n">
        <f aca="false">F542-F543</f>
        <v>-106.260686859882</v>
      </c>
    </row>
    <row r="545" customFormat="false" ht="15" hidden="false" customHeight="false" outlineLevel="0" collapsed="false">
      <c r="A545" s="10" t="s">
        <v>558</v>
      </c>
      <c r="C545" s="33" t="n">
        <f aca="false">ROUND(C531+C530-C533+C540-C541+C535-C542,6)</f>
        <v>0</v>
      </c>
      <c r="D545" s="33" t="n">
        <f aca="false">ROUND(D531+D530-D533+D540-D541+D535-D542,6)</f>
        <v>0</v>
      </c>
      <c r="E545" s="33" t="n">
        <f aca="false">ROUND(E531+E530-E533+E540-E541+E535-E542,6)</f>
        <v>0</v>
      </c>
      <c r="F545" s="33" t="n">
        <f aca="false">ROUND(F531+F530-F533+F540-F541+F535-F542,6)</f>
        <v>0</v>
      </c>
    </row>
    <row r="546" customFormat="false" ht="15" hidden="false" customHeight="false" outlineLevel="0" collapsed="false">
      <c r="A546" s="10" t="s">
        <v>559</v>
      </c>
      <c r="B546" s="47" t="n">
        <f aca="false">B66+B170</f>
        <v>0</v>
      </c>
      <c r="C546" s="47" t="n">
        <f aca="false">B546+C536</f>
        <v>0</v>
      </c>
      <c r="D546" s="47" t="n">
        <f aca="false">C546+D536</f>
        <v>41.9789991138226</v>
      </c>
      <c r="E546" s="47" t="n">
        <f aca="false">D546+E536</f>
        <v>75.6572726072166</v>
      </c>
      <c r="F546" s="47" t="n">
        <f aca="false">E546+F536</f>
        <v>75.6572726072166</v>
      </c>
    </row>
    <row r="547" customFormat="false" ht="15" hidden="false" customHeight="false" outlineLevel="0" collapsed="false">
      <c r="A547" s="10" t="s">
        <v>560</v>
      </c>
      <c r="C547" s="49" t="str">
        <f aca="false">IF(C546&gt;Inputs!$B$74,"UNFUNDED: above limit",IF(C536&gt;0,"Raising","OK"))</f>
        <v>OK</v>
      </c>
      <c r="D547" s="49" t="str">
        <f aca="false">IF(D546&gt;Inputs!$B$74,"UNFUNDED: above limit",IF(D536&gt;0,"Raising","OK"))</f>
        <v>Raising</v>
      </c>
      <c r="E547" s="49" t="str">
        <f aca="false">IF(E546&gt;Inputs!$B$74,"UNFUNDED: above limit",IF(E536&gt;0,"Raising","OK"))</f>
        <v>Raising</v>
      </c>
      <c r="F547" s="49" t="str">
        <f aca="false">IF(F546&gt;Inputs!$B$74,"UNFUNDED: above limit",IF(F536&gt;0,"Raising","OK"))</f>
        <v>OK</v>
      </c>
    </row>
    <row r="549" customFormat="false" ht="15" hidden="false" customHeight="false" outlineLevel="0" collapsed="false">
      <c r="A549" s="8" t="s">
        <v>657</v>
      </c>
      <c r="B549" s="9"/>
      <c r="C549" s="9"/>
      <c r="D549" s="9" t="s">
        <v>379</v>
      </c>
      <c r="E549" s="9" t="s">
        <v>426</v>
      </c>
      <c r="F549" s="9" t="s">
        <v>658</v>
      </c>
    </row>
    <row r="550" customFormat="false" ht="15" hidden="false" customHeight="false" outlineLevel="0" collapsed="false">
      <c r="A550" s="10" t="s">
        <v>659</v>
      </c>
      <c r="D550" s="16" t="n">
        <f aca="false">$B$68</f>
        <v>-2.6682278817239</v>
      </c>
      <c r="E550" s="16" t="n">
        <f aca="false">$B$172</f>
        <v>4.39029456791687</v>
      </c>
      <c r="F550" s="47" t="n">
        <f aca="false">$F$504</f>
        <v>3.60385582357316</v>
      </c>
    </row>
    <row r="551" customFormat="false" ht="15" hidden="false" customHeight="false" outlineLevel="0" collapsed="false">
      <c r="A551" s="10" t="s">
        <v>660</v>
      </c>
      <c r="D551" s="16" t="n">
        <f aca="false">$B$70</f>
        <v>-2.02358402549941</v>
      </c>
      <c r="E551" s="16" t="n">
        <f aca="false">$B$174</f>
        <v>3.32959940030816</v>
      </c>
      <c r="F551" s="47" t="n">
        <f aca="false">D551+E551+($F$447+$F$493)*(1-Inputs!$B$79)</f>
        <v>2.73316425659789</v>
      </c>
    </row>
    <row r="552" customFormat="false" ht="15" hidden="false" customHeight="false" outlineLevel="0" collapsed="false">
      <c r="A552" s="10" t="s">
        <v>661</v>
      </c>
      <c r="D552" s="50" t="n">
        <f aca="false">$B$71</f>
        <v>25</v>
      </c>
      <c r="E552" s="50" t="n">
        <f aca="false">$B$175</f>
        <v>25</v>
      </c>
      <c r="F552" s="48" t="n">
        <f aca="false">IFERROR(F553/(F551*$F$527),0)</f>
        <v>25</v>
      </c>
    </row>
    <row r="553" customFormat="false" ht="15" hidden="false" customHeight="false" outlineLevel="0" collapsed="false">
      <c r="A553" s="10" t="s">
        <v>662</v>
      </c>
      <c r="D553" s="16" t="n">
        <f aca="false">$B$72</f>
        <v>-33.3249369095371</v>
      </c>
      <c r="E553" s="16" t="n">
        <f aca="false">$B$176</f>
        <v>54.83275641194</v>
      </c>
      <c r="F553" s="47" t="n">
        <f aca="false">D553+E553+($F$447+$F$493)*(1-Inputs!$B$79)*Inputs!$B$30*$F$527</f>
        <v>45.0104988311755</v>
      </c>
    </row>
    <row r="554" customFormat="false" ht="15" hidden="false" customHeight="false" outlineLevel="0" collapsed="false">
      <c r="A554" s="10" t="s">
        <v>663</v>
      </c>
      <c r="D554" s="16" t="n">
        <f aca="false">$B$73</f>
        <v>-146.991182577579</v>
      </c>
      <c r="E554" s="16" t="n">
        <f aca="false">$B$177</f>
        <v>-12.5445697662918</v>
      </c>
      <c r="F554" s="47" t="n">
        <f aca="false">SUMPRODUCT($C$508:$F$508,$C$527:$F$527)</f>
        <v>-158.075155016271</v>
      </c>
    </row>
    <row r="555" customFormat="false" ht="15" hidden="false" customHeight="false" outlineLevel="0" collapsed="false">
      <c r="A555" s="13" t="s">
        <v>567</v>
      </c>
      <c r="D555" s="16" t="n">
        <f aca="false">$B$74</f>
        <v>-180.316119487116</v>
      </c>
      <c r="E555" s="16" t="n">
        <f aca="false">$B$178</f>
        <v>42.2881866456482</v>
      </c>
      <c r="F555" s="18" t="n">
        <f aca="false">F553+F554</f>
        <v>-113.064656185095</v>
      </c>
    </row>
    <row r="556" customFormat="false" ht="15" hidden="false" customHeight="false" outlineLevel="0" collapsed="false">
      <c r="A556" s="10" t="s">
        <v>664</v>
      </c>
      <c r="D556" s="16" t="n">
        <f aca="false">$B$75</f>
        <v>-6.7195031882755</v>
      </c>
      <c r="E556" s="16" t="n">
        <f aca="false">$B$179</f>
        <v>-1.27471754168552</v>
      </c>
      <c r="F556" s="47" t="n">
        <f aca="false">D556+E556+$B$451+$B$497</f>
        <v>-6.44886098555207</v>
      </c>
    </row>
    <row r="557" customFormat="false" ht="15" hidden="false" customHeight="false" outlineLevel="0" collapsed="false">
      <c r="A557" s="10" t="s">
        <v>665</v>
      </c>
      <c r="D557" s="50" t="n">
        <f aca="false">$B$76</f>
        <v>20</v>
      </c>
      <c r="E557" s="50" t="n">
        <f aca="false">$B$180</f>
        <v>20</v>
      </c>
      <c r="F557" s="48" t="n">
        <f aca="false">IFERROR(F558/(F556*$F$527),0)</f>
        <v>20</v>
      </c>
    </row>
    <row r="558" customFormat="false" ht="15" hidden="false" customHeight="false" outlineLevel="0" collapsed="false">
      <c r="A558" s="10" t="s">
        <v>666</v>
      </c>
      <c r="D558" s="16" t="n">
        <f aca="false">$B$77</f>
        <v>-88.5268976196631</v>
      </c>
      <c r="E558" s="16" t="n">
        <f aca="false">$B$181</f>
        <v>-16.7939185598844</v>
      </c>
      <c r="F558" s="47" t="n">
        <f aca="false">D558+E558+($B$451+$B$497)*Inputs!$B$31*$F$527</f>
        <v>-84.9612895827681</v>
      </c>
    </row>
    <row r="559" customFormat="false" ht="15" hidden="false" customHeight="false" outlineLevel="0" collapsed="false">
      <c r="A559" s="13" t="s">
        <v>571</v>
      </c>
      <c r="D559" s="16" t="n">
        <f aca="false">$B$78</f>
        <v>-235.518080197242</v>
      </c>
      <c r="E559" s="16" t="n">
        <f aca="false">$B$182</f>
        <v>-29.3384883261762</v>
      </c>
      <c r="F559" s="18" t="n">
        <f aca="false">F554+F558</f>
        <v>-243.036444599039</v>
      </c>
    </row>
    <row r="560" customFormat="false" ht="15" hidden="false" customHeight="false" outlineLevel="0" collapsed="false">
      <c r="A560" s="10" t="s">
        <v>572</v>
      </c>
      <c r="D560" s="47" t="n">
        <f aca="false">$B$79</f>
        <v>-207.917099842179</v>
      </c>
      <c r="E560" s="47" t="n">
        <f aca="false">$B$183</f>
        <v>6.47484915973597</v>
      </c>
      <c r="F560" s="47" t="n">
        <f aca="false">F555*Inputs!$B$7+F559*(1-Inputs!$B$7)</f>
        <v>-178.050550392067</v>
      </c>
    </row>
    <row r="561" customFormat="false" ht="15" hidden="false" customHeight="false" outlineLevel="0" collapsed="false">
      <c r="A561" s="10" t="s">
        <v>667</v>
      </c>
      <c r="D561" s="26" t="n">
        <v>0</v>
      </c>
      <c r="E561" s="26" t="n">
        <v>0</v>
      </c>
      <c r="F561" s="47" t="n">
        <f aca="false">Inputs!$B$9*(D560+E560)</f>
        <v>-0</v>
      </c>
    </row>
    <row r="562" customFormat="false" ht="15" hidden="false" customHeight="false" outlineLevel="0" collapsed="false">
      <c r="A562" s="13" t="s">
        <v>668</v>
      </c>
      <c r="D562" s="18" t="n">
        <f aca="false">$B$79</f>
        <v>-207.917099842179</v>
      </c>
      <c r="E562" s="18" t="n">
        <f aca="false">$B$183</f>
        <v>6.47484915973597</v>
      </c>
      <c r="F562" s="18" t="n">
        <f aca="false">F560+F561</f>
        <v>-178.050550392067</v>
      </c>
    </row>
    <row r="563" customFormat="false" ht="15" hidden="false" customHeight="false" outlineLevel="0" collapsed="false">
      <c r="A563" s="10" t="s">
        <v>669</v>
      </c>
      <c r="D563" s="49" t="str">
        <f aca="false">IFERROR(TEXT(D553/D555,"0%")&amp;" / "&amp;TEXT(D558/D559,"0%"),"n/a")</f>
        <v>18% / 38%</v>
      </c>
      <c r="E563" s="49" t="str">
        <f aca="false">IFERROR(TEXT(E553/E555,"0%")&amp;" / "&amp;TEXT(E558/E559,"0%"),"n/a")</f>
        <v>130% / 57%</v>
      </c>
      <c r="F563" s="49" t="str">
        <f aca="false">IFERROR(TEXT(F553/F555,"0%")&amp;" / "&amp;TEXT(F558/F559,"0%"),"n/a")</f>
        <v>-40% / 35%</v>
      </c>
    </row>
    <row r="564" customFormat="false" ht="15" hidden="false" customHeight="false" outlineLevel="0" collapsed="false">
      <c r="A564" s="10" t="s">
        <v>670</v>
      </c>
      <c r="D564" s="16" t="n">
        <f aca="false">$B$97</f>
        <v>0</v>
      </c>
      <c r="E564" s="16" t="n">
        <f aca="false">$B$201</f>
        <v>0.916829072523901</v>
      </c>
      <c r="F564" s="47" t="n">
        <f aca="false">D564+E564</f>
        <v>0.916829072523901</v>
      </c>
    </row>
    <row r="565" customFormat="false" ht="15" hidden="false" customHeight="false" outlineLevel="0" collapsed="false">
      <c r="A565" s="10" t="s">
        <v>671</v>
      </c>
      <c r="D565" s="16" t="n">
        <f aca="false">$B$98</f>
        <v>18.4621457286432</v>
      </c>
      <c r="E565" s="16" t="n">
        <f aca="false">$B$202</f>
        <v>32.3747788944724</v>
      </c>
      <c r="F565" s="47" t="n">
        <f aca="false">$B$523</f>
        <v>50.8369246231156</v>
      </c>
    </row>
    <row r="566" customFormat="false" ht="15" hidden="false" customHeight="false" outlineLevel="0" collapsed="false">
      <c r="A566" s="10" t="s">
        <v>672</v>
      </c>
      <c r="D566" s="16" t="n">
        <f aca="false">$B$99</f>
        <v>0</v>
      </c>
      <c r="E566" s="16" t="n">
        <f aca="false">$B$203</f>
        <v>2.861306</v>
      </c>
      <c r="F566" s="26" t="n">
        <v>0</v>
      </c>
    </row>
    <row r="567" customFormat="false" ht="15" hidden="false" customHeight="false" outlineLevel="0" collapsed="false">
      <c r="A567" s="10" t="s">
        <v>673</v>
      </c>
      <c r="D567" s="16" t="n">
        <f aca="false">$B$100</f>
        <v>0.928796132985167</v>
      </c>
      <c r="E567" s="16" t="n">
        <f aca="false">$B$204</f>
        <v>0</v>
      </c>
      <c r="F567" s="47" t="n">
        <f aca="false">SUMPRODUCT($C$518:$F$518,$C$527:$F$527)</f>
        <v>0.550544201567604</v>
      </c>
    </row>
    <row r="568" customFormat="false" ht="15" hidden="false" customHeight="false" outlineLevel="0" collapsed="false">
      <c r="A568" s="13" t="s">
        <v>674</v>
      </c>
      <c r="D568" s="16" t="n">
        <f aca="false">$B$101</f>
        <v>-190.383750246521</v>
      </c>
      <c r="E568" s="16" t="n">
        <f aca="false">$B$205</f>
        <v>42.6277631267322</v>
      </c>
      <c r="F568" s="18" t="n">
        <f aca="false">F562+F564+F565-F567</f>
        <v>-126.847340897995</v>
      </c>
    </row>
    <row r="569" customFormat="false" ht="15" hidden="false" customHeight="false" outlineLevel="0" collapsed="false">
      <c r="A569" s="10" t="s">
        <v>675</v>
      </c>
      <c r="D569" s="20" t="n">
        <f aca="false">$B$102</f>
        <v>14.1934659057591</v>
      </c>
      <c r="E569" s="20" t="n">
        <f aca="false">$B$206</f>
        <v>3.967329173</v>
      </c>
      <c r="F569" s="25" t="n">
        <f aca="false">Deal!$B$19+$B$104+$B$208*Deal!$B$10</f>
        <v>26.2650455921569</v>
      </c>
    </row>
    <row r="570" customFormat="false" ht="15" hidden="false" customHeight="false" outlineLevel="0" collapsed="false">
      <c r="A570" s="10" t="s">
        <v>676</v>
      </c>
      <c r="D570" s="20" t="n">
        <f aca="false">$B$107</f>
        <v>0</v>
      </c>
      <c r="E570" s="20" t="n">
        <f aca="false">$B$211</f>
        <v>0</v>
      </c>
      <c r="F570" s="25" t="n">
        <f aca="false">IFERROR(F571/(F568/F569*(1-Inputs!$B$71)),0)</f>
        <v>-0</v>
      </c>
    </row>
    <row r="571" customFormat="false" ht="15" hidden="false" customHeight="false" outlineLevel="0" collapsed="false">
      <c r="A571" s="10" t="s">
        <v>677</v>
      </c>
      <c r="D571" s="16" t="n">
        <f aca="false">$B$106</f>
        <v>0</v>
      </c>
      <c r="E571" s="16" t="n">
        <f aca="false">$B$210</f>
        <v>0</v>
      </c>
      <c r="F571" s="47" t="n">
        <f aca="false">SUMPRODUCT($C$517:$F$517,$C$527:$F$527)</f>
        <v>0</v>
      </c>
    </row>
    <row r="572" customFormat="false" ht="15" hidden="false" customHeight="false" outlineLevel="0" collapsed="false">
      <c r="A572" s="10" t="s">
        <v>600</v>
      </c>
      <c r="D572" s="17" t="str">
        <f aca="false">$B$109</f>
        <v>Not meaningful: 2030 profit or cash flow negative</v>
      </c>
      <c r="E572" s="17" t="str">
        <f aca="false">$B$213</f>
        <v>Not meaningful: 2030 profit or cash flow negative</v>
      </c>
      <c r="F572" s="49" t="str">
        <f aca="false">IF($F$525&gt;Inputs!$B$74,"Not meaningful: funding need above limit",IF(OR(F551&lt;=0,F556&lt;=0),"Not meaningful: 2030 profit or cash flow negative",IF(OR(F555&lt;=0,F559&lt;=0),"Not meaningful: a method gives zero or negative value",IF(F568&lt;=0,"Not meaningful: value at or below zero","OK"))))</f>
        <v>Not meaningful: 2030 profit or cash flow negative</v>
      </c>
    </row>
    <row r="573" customFormat="false" ht="15" hidden="false" customHeight="false" outlineLevel="0" collapsed="false">
      <c r="A573" s="13" t="s">
        <v>678</v>
      </c>
      <c r="D573" s="14" t="str">
        <f aca="false">$B$110</f>
        <v>unresolved</v>
      </c>
      <c r="E573" s="14" t="str">
        <f aca="false">$B$214</f>
        <v>unresolved</v>
      </c>
      <c r="F573" s="15" t="str">
        <f aca="false">IF(F572="OK",(F568+F571)/(F569+F570),"unresolved")</f>
        <v>unresolved</v>
      </c>
    </row>
    <row r="574" customFormat="false" ht="15" hidden="false" customHeight="false" outlineLevel="0" collapsed="false">
      <c r="A574" s="10" t="s">
        <v>602</v>
      </c>
      <c r="D574" s="47" t="str">
        <f aca="false">$B$111</f>
        <v>unresolved</v>
      </c>
      <c r="E574" s="47" t="str">
        <f aca="false">$B$215</f>
        <v>unresolved</v>
      </c>
      <c r="F574" s="47" t="str">
        <f aca="false">IF(ISNUMBER(F573),F573*F569,"unresolved")</f>
        <v>unresolved</v>
      </c>
    </row>
    <row r="575" customFormat="false" ht="15" hidden="false" customHeight="false" outlineLevel="0" collapsed="false">
      <c r="A575" s="10" t="s">
        <v>679</v>
      </c>
      <c r="D575" s="16" t="str">
        <f aca="false">$B$112</f>
        <v>n/a</v>
      </c>
      <c r="E575" s="16" t="str">
        <f aca="false">$B$216</f>
        <v>n/a</v>
      </c>
      <c r="F575" s="47" t="str">
        <f aca="false">IFERROR(F568-F574,"n/a")</f>
        <v>n/a</v>
      </c>
    </row>
    <row r="576" customFormat="false" ht="15" hidden="false" customHeight="false" outlineLevel="0" collapsed="false">
      <c r="A576" s="10" t="s">
        <v>680</v>
      </c>
      <c r="D576" s="32" t="str">
        <f aca="false">IF(ISNUMBER(D573),(D555+D561+(D564+D565+D566-D567+D571))/(D569+D570),"unresolved")</f>
        <v>unresolved</v>
      </c>
      <c r="E576" s="32" t="str">
        <f aca="false">IF(ISNUMBER(E573),(E555+E561+(E564+E565+E566-E567+E571))/(E569+E570),"unresolved")</f>
        <v>unresolved</v>
      </c>
      <c r="F576" s="32" t="str">
        <f aca="false">IF(ISNUMBER(F573),(F555+F561+(F564+F565+F566-F567+F571))/(F569+F570),"unresolved")</f>
        <v>unresolved</v>
      </c>
    </row>
    <row r="577" customFormat="false" ht="15" hidden="false" customHeight="false" outlineLevel="0" collapsed="false">
      <c r="A577" s="10" t="s">
        <v>681</v>
      </c>
      <c r="D577" s="32" t="str">
        <f aca="false">IF(ISNUMBER(D573),(D559+D561+(D564+D565+D566-D567+D571))/(D569+D570),"unresolved")</f>
        <v>unresolved</v>
      </c>
      <c r="E577" s="32" t="str">
        <f aca="false">IF(ISNUMBER(E573),(E559+E561+(E564+E565+E566-E567+E571))/(E569+E570),"unresolved")</f>
        <v>unresolved</v>
      </c>
      <c r="F577" s="32" t="str">
        <f aca="false">IF(ISNUMBER(F573),(F559+F561+(F564+F565+F566-F567+F571))/(F569+F570),"unresolved")</f>
        <v>unresolved</v>
      </c>
    </row>
    <row r="578" customFormat="false" ht="15" hidden="false" customHeight="false" outlineLevel="0" collapsed="false">
      <c r="A578" s="10" t="s">
        <v>682</v>
      </c>
      <c r="D578" s="14" t="n">
        <f aca="false">Inputs!$B$12</f>
        <v>147.49</v>
      </c>
      <c r="E578" s="14" t="n">
        <f aca="false">Inputs!$B$13</f>
        <v>374.58</v>
      </c>
    </row>
    <row r="579" customFormat="false" ht="15" hidden="false" customHeight="false" outlineLevel="0" collapsed="false">
      <c r="A579" s="10" t="s">
        <v>683</v>
      </c>
      <c r="D579" s="19" t="str">
        <f aca="false">IFERROR(D573/D578-1,"n/a")</f>
        <v>n/a</v>
      </c>
      <c r="E579" s="19" t="str">
        <f aca="false">IFERROR(E573/E578-1,"n/a")</f>
        <v>n/a</v>
      </c>
    </row>
    <row r="580" customFormat="false" ht="15" hidden="false" customHeight="false" outlineLevel="0" collapsed="false">
      <c r="A580" s="10" t="s">
        <v>684</v>
      </c>
      <c r="E580" s="32" t="n">
        <f aca="false">$B$223/$B$206</f>
        <v>0.260949230034031</v>
      </c>
    </row>
    <row r="581" customFormat="false" ht="15" hidden="false" customHeight="false" outlineLevel="0" collapsed="false">
      <c r="A581" s="10" t="s">
        <v>685</v>
      </c>
      <c r="E581" s="32" t="str">
        <f aca="false">IFERROR(E573-E580,"unresolved")</f>
        <v>unresolved</v>
      </c>
    </row>
    <row r="582" customFormat="false" ht="15" hidden="false" customHeight="false" outlineLevel="0" collapsed="false">
      <c r="A582" s="10" t="s">
        <v>686</v>
      </c>
      <c r="E582" s="14" t="str">
        <f aca="false">$B$325</f>
        <v>unresolved</v>
      </c>
    </row>
    <row r="583" customFormat="false" ht="15" hidden="false" customHeight="false" outlineLevel="0" collapsed="false">
      <c r="A583" s="10" t="s">
        <v>687</v>
      </c>
      <c r="E583" s="20" t="n">
        <f aca="false">Inputs!$B$151</f>
        <v>1</v>
      </c>
    </row>
    <row r="584" customFormat="false" ht="15" hidden="false" customHeight="false" outlineLevel="0" collapsed="false">
      <c r="A584" s="10" t="s">
        <v>688</v>
      </c>
      <c r="E584" s="47" t="str">
        <f aca="false">IF(AND(ISNUMBER(E586),ABS(N(E586))&lt;0.5),$F$333,"no solution")</f>
        <v>no solution</v>
      </c>
    </row>
    <row r="585" customFormat="false" ht="15" hidden="false" customHeight="false" outlineLevel="0" collapsed="false">
      <c r="A585" s="10" t="s">
        <v>689</v>
      </c>
      <c r="E585" s="14" t="str">
        <f aca="false">$B$429</f>
        <v>unresolved</v>
      </c>
    </row>
    <row r="586" customFormat="false" ht="15" hidden="false" customHeight="false" outlineLevel="0" collapsed="false">
      <c r="A586" s="10" t="s">
        <v>690</v>
      </c>
      <c r="E586" s="32" t="str">
        <f aca="false">IFERROR(E585-E578,"n/a")</f>
        <v>n/a</v>
      </c>
    </row>
    <row r="587" customFormat="false" ht="15" hidden="false" customHeight="false" outlineLevel="0" collapsed="false">
      <c r="A587" s="10" t="s">
        <v>691</v>
      </c>
      <c r="F587" s="32" t="str">
        <f aca="false">IFERROR(F573*Deal!$B$10,"unresolved")</f>
        <v>unresolved</v>
      </c>
    </row>
    <row r="588" customFormat="false" ht="15" hidden="false" customHeight="false" outlineLevel="0" collapsed="false">
      <c r="A588" s="13" t="s">
        <v>692</v>
      </c>
      <c r="F588" s="12" t="str">
        <f aca="false">IFERROR(F573/D573-1,"unresolved")</f>
        <v>unresolved</v>
      </c>
    </row>
    <row r="589" customFormat="false" ht="15" hidden="false" customHeight="false" outlineLevel="0" collapsed="false">
      <c r="A589" s="13" t="s">
        <v>693</v>
      </c>
      <c r="F589" s="12" t="str">
        <f aca="false">IFERROR(F587/E573-1,"unresolved")</f>
        <v>unresolved</v>
      </c>
    </row>
    <row r="590" customFormat="false" ht="15" hidden="false" customHeight="false" outlineLevel="0" collapsed="false">
      <c r="A590" s="10" t="s">
        <v>694</v>
      </c>
      <c r="F590" s="47" t="n">
        <f aca="false">$B$454</f>
        <v>23.9028067310791</v>
      </c>
    </row>
    <row r="591" customFormat="false" ht="15" hidden="false" customHeight="false" outlineLevel="0" collapsed="false">
      <c r="A591" s="10" t="s">
        <v>695</v>
      </c>
      <c r="F591" s="47" t="n">
        <f aca="false">$B$500</f>
        <v>-0.511106440703309</v>
      </c>
    </row>
    <row r="592" customFormat="false" ht="15" hidden="false" customHeight="false" outlineLevel="0" collapsed="false">
      <c r="A592" s="10" t="s">
        <v>696</v>
      </c>
      <c r="F592" s="47" t="n">
        <f aca="false">$B$477</f>
        <v>0.891303346418186</v>
      </c>
    </row>
    <row r="593" customFormat="false" ht="15" hidden="false" customHeight="false" outlineLevel="0" collapsed="false">
      <c r="A593" s="10" t="s">
        <v>697</v>
      </c>
      <c r="F593" s="47" t="n">
        <f aca="false">$F$546</f>
        <v>75.6572726072166</v>
      </c>
    </row>
    <row r="594" customFormat="false" ht="15" hidden="false" customHeight="false" outlineLevel="0" collapsed="false">
      <c r="A594" s="10" t="s">
        <v>698</v>
      </c>
      <c r="F594" s="47" t="n">
        <f aca="false">F551-($F$447-$F$470)*(1-Inputs!$B$79)</f>
        <v>1.27053568516932</v>
      </c>
    </row>
    <row r="595" customFormat="false" ht="15" hidden="false" customHeight="false" outlineLevel="0" collapsed="false">
      <c r="A595" s="10" t="s">
        <v>699</v>
      </c>
      <c r="F595" s="47" t="n">
        <f aca="false">F556-$B$451+$B$474</f>
        <v>-7.48291812840922</v>
      </c>
    </row>
    <row r="596" customFormat="false" ht="15" hidden="false" customHeight="false" outlineLevel="0" collapsed="false">
      <c r="A596" s="10" t="s">
        <v>700</v>
      </c>
      <c r="F596" s="47" t="n">
        <f aca="false">F555-$B$452+$B$475</f>
        <v>-141.307989175266</v>
      </c>
    </row>
    <row r="597" customFormat="false" ht="15" hidden="false" customHeight="false" outlineLevel="0" collapsed="false">
      <c r="A597" s="10" t="s">
        <v>701</v>
      </c>
      <c r="F597" s="47" t="n">
        <f aca="false">F559-$B$453+$B$476</f>
        <v>-260.816118378191</v>
      </c>
    </row>
    <row r="598" customFormat="false" ht="15" hidden="false" customHeight="false" outlineLevel="0" collapsed="false">
      <c r="A598" s="10" t="s">
        <v>702</v>
      </c>
      <c r="F598" s="47" t="n">
        <f aca="false">F562-F590+F592+F564+$B$544-SUMPRODUCT($C$539:$F$539,$C$527:$F$527)</f>
        <v>-149.895263688302</v>
      </c>
    </row>
    <row r="599" customFormat="false" ht="15" hidden="false" customHeight="false" outlineLevel="0" collapsed="false">
      <c r="A599" s="10" t="s">
        <v>703</v>
      </c>
      <c r="F599" s="49" t="str">
        <f aca="false">IF(F593&gt;Inputs!$B$74,"Not meaningful: funding need above limit",IF(OR(F594&lt;=0,F595&lt;=0),"Not meaningful: 2030 profit or cash flow negative",IF(OR(F596&lt;=0,F597&lt;=0),"Not meaningful: a method gives zero or negative value",IF(F598&lt;=0,"Not meaningful: value at or below zero","OK"))))</f>
        <v>Not meaningful: 2030 profit or cash flow negative</v>
      </c>
    </row>
    <row r="600" customFormat="false" ht="15" hidden="false" customHeight="false" outlineLevel="0" collapsed="false">
      <c r="A600" s="10" t="s">
        <v>704</v>
      </c>
      <c r="F600" s="32" t="str">
        <f aca="false">IF(F599="OK",(F598+SUMPRODUCT($C$538:$F$538,$C$527:$F$527))/(F569+IFERROR(SUMPRODUCT($C$538:$F$538,$C$527:$F$527)/(F598/F569*(1-Inputs!$B$71)),0)),"unresolved")</f>
        <v>unresolved</v>
      </c>
    </row>
    <row r="601" customFormat="false" ht="15" hidden="false" customHeight="false" outlineLevel="0" collapsed="false">
      <c r="A601" s="10" t="s">
        <v>705</v>
      </c>
      <c r="F601" s="47" t="str">
        <f aca="false">IFERROR(D574*F569/D569-(D574+E574-E566),"unresolved")</f>
        <v>unresolved</v>
      </c>
    </row>
    <row r="603" customFormat="false" ht="15" hidden="false" customHeight="false" outlineLevel="0" collapsed="false">
      <c r="A603" s="6" t="s">
        <v>706</v>
      </c>
    </row>
    <row r="604" customFormat="false" ht="15" hidden="false" customHeight="false" outlineLevel="0" collapsed="false">
      <c r="A604" s="6" t="s">
        <v>707</v>
      </c>
    </row>
    <row r="605" customFormat="false" ht="15" hidden="false" customHeight="false" outlineLevel="0" collapsed="false">
      <c r="A605" s="6" t="s">
        <v>708</v>
      </c>
    </row>
    <row r="606" customFormat="false" ht="15" hidden="false" customHeight="false" outlineLevel="0" collapsed="false">
      <c r="A606" s="6" t="s">
        <v>709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6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7" min="2" style="0" width="14"/>
  </cols>
  <sheetData>
    <row r="1" customFormat="false" ht="17.35" hidden="false" customHeight="false" outlineLevel="0" collapsed="false">
      <c r="A1" s="5" t="s">
        <v>710</v>
      </c>
    </row>
    <row r="2" customFormat="false" ht="15" hidden="false" customHeight="false" outlineLevel="0" collapsed="false">
      <c r="A2" s="6" t="s">
        <v>493</v>
      </c>
    </row>
    <row r="4" customFormat="false" ht="15" hidden="false" customHeight="false" outlineLevel="0" collapsed="false">
      <c r="A4" s="8" t="s">
        <v>494</v>
      </c>
      <c r="B4" s="9" t="s">
        <v>495</v>
      </c>
      <c r="C4" s="9" t="s">
        <v>496</v>
      </c>
      <c r="D4" s="9" t="s">
        <v>497</v>
      </c>
      <c r="E4" s="9" t="s">
        <v>498</v>
      </c>
      <c r="F4" s="9" t="s">
        <v>499</v>
      </c>
    </row>
    <row r="5" customFormat="false" ht="15" hidden="false" customHeight="false" outlineLevel="0" collapsed="false">
      <c r="A5" s="10" t="s">
        <v>134</v>
      </c>
      <c r="B5" s="47" t="n">
        <f aca="false">Historicals!$C$5+Inputs!$C$87</f>
        <v>18.596</v>
      </c>
      <c r="C5" s="47" t="n">
        <f aca="false">B5*(1+Inputs!$C$92)</f>
        <v>25.1046</v>
      </c>
      <c r="D5" s="47" t="n">
        <f aca="false">C5*(1+Inputs!$C$93)</f>
        <v>31.38075</v>
      </c>
      <c r="E5" s="47" t="n">
        <f aca="false">D5*(1+Inputs!$C$94)</f>
        <v>37.029285</v>
      </c>
      <c r="F5" s="47" t="n">
        <f aca="false">E5*(1+Inputs!$C$95)</f>
        <v>42.2133849</v>
      </c>
    </row>
    <row r="6" customFormat="false" ht="15" hidden="false" customHeight="false" outlineLevel="0" collapsed="false">
      <c r="A6" s="10" t="s">
        <v>500</v>
      </c>
      <c r="B6" s="47" t="n">
        <f aca="false">Historicals!$C$6+Inputs!$C$88</f>
        <v>27.939</v>
      </c>
      <c r="C6" s="47" t="n">
        <f aca="false">B6*(1+Inputs!$C$96)</f>
        <v>117.3438</v>
      </c>
      <c r="D6" s="47" t="n">
        <f aca="false">C6*(1+Inputs!$C$97)</f>
        <v>181.88289</v>
      </c>
      <c r="E6" s="47" t="n">
        <f aca="false">D6*(1+Inputs!$C$98)</f>
        <v>245.5419015</v>
      </c>
      <c r="F6" s="47" t="n">
        <f aca="false">E6*(1+Inputs!$C$99)</f>
        <v>306.927376875</v>
      </c>
    </row>
    <row r="7" customFormat="false" ht="15" hidden="false" customHeight="false" outlineLevel="0" collapsed="false">
      <c r="A7" s="10" t="s">
        <v>135</v>
      </c>
      <c r="B7" s="47" t="n">
        <f aca="false">Historicals!$C$7+Inputs!$C$89</f>
        <v>5.248</v>
      </c>
      <c r="C7" s="47" t="n">
        <f aca="false">B7*(1+Inputs!$C$100)</f>
        <v>5.7728</v>
      </c>
      <c r="D7" s="47" t="n">
        <f aca="false">C7*(1+Inputs!$C$101)</f>
        <v>6.465536</v>
      </c>
      <c r="E7" s="47" t="n">
        <f aca="false">D7*(1+Inputs!$C$102)</f>
        <v>7.37071104</v>
      </c>
      <c r="F7" s="47" t="n">
        <f aca="false">E7*(1+Inputs!$C$103)</f>
        <v>8.476317696</v>
      </c>
    </row>
    <row r="8" customFormat="false" ht="15" hidden="false" customHeight="false" outlineLevel="0" collapsed="false">
      <c r="A8" s="13" t="s">
        <v>108</v>
      </c>
      <c r="B8" s="18" t="n">
        <f aca="false">B5+B6+B7</f>
        <v>51.783</v>
      </c>
      <c r="C8" s="18" t="n">
        <f aca="false">C5+C6+C7</f>
        <v>148.2212</v>
      </c>
      <c r="D8" s="18" t="n">
        <f aca="false">D5+D6+D7</f>
        <v>219.729176</v>
      </c>
      <c r="E8" s="18" t="n">
        <f aca="false">E5+E6+E7</f>
        <v>289.94189754</v>
      </c>
      <c r="F8" s="18" t="n">
        <f aca="false">F5+F6+F7</f>
        <v>357.617079471</v>
      </c>
    </row>
    <row r="9" customFormat="false" ht="15" hidden="false" customHeight="false" outlineLevel="0" collapsed="false">
      <c r="A9" s="10" t="s">
        <v>501</v>
      </c>
      <c r="C9" s="19" t="n">
        <f aca="false">IFERROR(C8/B8-1,0)</f>
        <v>1.86235250951084</v>
      </c>
      <c r="D9" s="19" t="n">
        <f aca="false">IFERROR(D8/C8-1,0)</f>
        <v>0.482440946369346</v>
      </c>
      <c r="E9" s="19" t="n">
        <f aca="false">IFERROR(E8/D8-1,0)</f>
        <v>0.319542096403256</v>
      </c>
      <c r="F9" s="19" t="n">
        <f aca="false">IFERROR(F8/E8-1,0)</f>
        <v>0.233409460671905</v>
      </c>
    </row>
    <row r="10" customFormat="false" ht="15" hidden="false" customHeight="false" outlineLevel="0" collapsed="false">
      <c r="A10" s="10" t="s">
        <v>502</v>
      </c>
      <c r="C10" s="47" t="n">
        <f aca="false">C5*(Inputs!$C$104+(Inputs!$C$105-Inputs!$C$104)*0/3)</f>
        <v>16.066944</v>
      </c>
      <c r="D10" s="47" t="n">
        <f aca="false">D5*(Inputs!$C$104+(Inputs!$C$105-Inputs!$C$104)*1/3)</f>
        <v>20.50209</v>
      </c>
      <c r="E10" s="47" t="n">
        <f aca="false">E5*(Inputs!$C$104+(Inputs!$C$105-Inputs!$C$104)*2/3)</f>
        <v>24.68619</v>
      </c>
      <c r="F10" s="47" t="n">
        <f aca="false">F5*(Inputs!$C$104+(Inputs!$C$105-Inputs!$C$104)*3/3)</f>
        <v>28.705101732</v>
      </c>
    </row>
    <row r="11" customFormat="false" ht="15" hidden="false" customHeight="false" outlineLevel="0" collapsed="false">
      <c r="A11" s="10" t="s">
        <v>503</v>
      </c>
      <c r="C11" s="47" t="n">
        <f aca="false">C6*(Inputs!$C$106+(Inputs!$C$107-Inputs!$C$106)*0/3)</f>
        <v>62.192214</v>
      </c>
      <c r="D11" s="47" t="n">
        <f aca="false">D6*(Inputs!$C$106+(Inputs!$C$107-Inputs!$C$106)*1/3)</f>
        <v>96.3979317</v>
      </c>
      <c r="E11" s="47" t="n">
        <f aca="false">E6*(Inputs!$C$106+(Inputs!$C$107-Inputs!$C$106)*2/3)</f>
        <v>130.137207795</v>
      </c>
      <c r="F11" s="47" t="n">
        <f aca="false">F6*(Inputs!$C$106+(Inputs!$C$107-Inputs!$C$106)*3/3)</f>
        <v>162.67150974375</v>
      </c>
    </row>
    <row r="12" customFormat="false" ht="15" hidden="false" customHeight="false" outlineLevel="0" collapsed="false">
      <c r="A12" s="10" t="s">
        <v>504</v>
      </c>
      <c r="C12" s="47" t="n">
        <f aca="false">C7*(Inputs!$C$108+(Inputs!$C$109-Inputs!$C$108)*0/3)</f>
        <v>1.327744</v>
      </c>
      <c r="D12" s="47" t="n">
        <f aca="false">D7*(Inputs!$C$108+(Inputs!$C$109-Inputs!$C$108)*1/3)</f>
        <v>1.70259114666667</v>
      </c>
      <c r="E12" s="47" t="n">
        <f aca="false">E7*(Inputs!$C$108+(Inputs!$C$109-Inputs!$C$108)*2/3)</f>
        <v>2.1866442752</v>
      </c>
      <c r="F12" s="47" t="n">
        <f aca="false">F7*(Inputs!$C$108+(Inputs!$C$109-Inputs!$C$108)*3/3)</f>
        <v>2.79718483968</v>
      </c>
    </row>
    <row r="13" customFormat="false" ht="15" hidden="false" customHeight="false" outlineLevel="0" collapsed="false">
      <c r="A13" s="10" t="s">
        <v>505</v>
      </c>
      <c r="C13" s="47" t="n">
        <f aca="false">C10+C11+C12</f>
        <v>79.586902</v>
      </c>
      <c r="D13" s="47" t="n">
        <f aca="false">D10+D11+D12</f>
        <v>118.602612846667</v>
      </c>
      <c r="E13" s="47" t="n">
        <f aca="false">E10+E11+E12</f>
        <v>157.0100420702</v>
      </c>
      <c r="F13" s="47" t="n">
        <f aca="false">F10+F11+F12</f>
        <v>194.17379631543</v>
      </c>
    </row>
    <row r="14" customFormat="false" ht="15" hidden="false" customHeight="false" outlineLevel="0" collapsed="false">
      <c r="A14" s="10" t="s">
        <v>506</v>
      </c>
      <c r="B14" s="47" t="n">
        <f aca="false">(Inputs!$C$87+Inputs!$C$88+Inputs!$C$89)*Inputs!$C$110</f>
        <v>1.976</v>
      </c>
      <c r="C14" s="47" t="n">
        <f aca="false">C8*Inputs!$C$110</f>
        <v>11.857696</v>
      </c>
      <c r="D14" s="47" t="n">
        <f aca="false">D8*Inputs!$C$110</f>
        <v>17.57833408</v>
      </c>
      <c r="E14" s="47" t="n">
        <f aca="false">E8*Inputs!$C$110</f>
        <v>23.1953518032</v>
      </c>
      <c r="F14" s="47" t="n">
        <f aca="false">F8*Inputs!$C$110</f>
        <v>28.60936635768</v>
      </c>
    </row>
    <row r="15" customFormat="false" ht="15" hidden="false" customHeight="false" outlineLevel="0" collapsed="false">
      <c r="A15" s="10" t="s">
        <v>507</v>
      </c>
      <c r="B15" s="47" t="n">
        <f aca="false">(1-Inputs!$B$14)*Historicals!B$67</f>
        <v>0</v>
      </c>
      <c r="C15" s="47" t="n">
        <f aca="false">(1-Inputs!$B$14)*Historicals!C$67</f>
        <v>0</v>
      </c>
      <c r="D15" s="47" t="n">
        <f aca="false">(1-Inputs!$B$14)*Historicals!D$67</f>
        <v>0</v>
      </c>
      <c r="E15" s="47" t="n">
        <f aca="false">(1-Inputs!$B$14)*Historicals!E$67</f>
        <v>0</v>
      </c>
      <c r="F15" s="26" t="n">
        <v>0</v>
      </c>
      <c r="G15" s="6" t="s">
        <v>508</v>
      </c>
    </row>
    <row r="16" customFormat="false" ht="15" hidden="false" customHeight="false" outlineLevel="0" collapsed="false">
      <c r="A16" s="10" t="s">
        <v>509</v>
      </c>
      <c r="B16" s="47" t="n">
        <f aca="false">Historicals!$C$13+Inputs!$B$50/4</f>
        <v>3.56</v>
      </c>
      <c r="C16" s="47" t="n">
        <f aca="false">Inputs!$B$50*MAX(0,MIN(1,(Inputs!$B$54-1+0.5)/Inputs!$B$54))+$B26*IF(1&lt;=Inputs!$B$46,1,0)/Inputs!$B$46+C22*0.5/Inputs!$B$46</f>
        <v>4.66925961797581</v>
      </c>
      <c r="D16" s="47" t="n">
        <f aca="false">Inputs!$B$50*MAX(0,MIN(1,(Inputs!$B$54-2+0.5)/Inputs!$B$54))+$B26*IF(2&lt;=Inputs!$B$46,1,0)/Inputs!$B$46+C22*IF(1&lt;=Inputs!$B$46-1,1,IF(1=Inputs!$B$46,0.5,0))/Inputs!$B$46+D22*0.5/Inputs!$B$46</f>
        <v>4.99079086797581</v>
      </c>
      <c r="E16" s="47" t="n">
        <f aca="false">Inputs!$B$50*MAX(0,MIN(1,(Inputs!$B$54-3+0.5)/Inputs!$B$54))+$B26*IF(3&lt;=Inputs!$B$46,1,0)/Inputs!$B$46+C22*IF(2&lt;=Inputs!$B$46-1,1,IF(2=Inputs!$B$46,0.5,0))/Inputs!$B$46+D22*IF(1&lt;=Inputs!$B$46-1,1,IF(1=Inputs!$B$46,0.5,0))/Inputs!$B$46+E22*0.5/Inputs!$B$46</f>
        <v>5.36357734297581</v>
      </c>
      <c r="F16" s="47" t="n">
        <f aca="false">Inputs!$B$50*MAX(0,MIN(1,(Inputs!$B$54-4+0.5)/Inputs!$B$54))+$B26*IF(4&lt;=Inputs!$B$46,1,0)/Inputs!$B$46+C22*IF(3&lt;=Inputs!$B$46-1,1,IF(3=Inputs!$B$46,0.5,0))/Inputs!$B$46+D22*IF(2&lt;=Inputs!$B$46-1,1,IF(2=Inputs!$B$46,0.5,0))/Inputs!$B$46+E22*IF(1&lt;=Inputs!$B$46-1,1,IF(1=Inputs!$B$46,0.5,0))/Inputs!$B$46+F22*0.5/Inputs!$B$46</f>
        <v>5.68964834147581</v>
      </c>
    </row>
    <row r="17" customFormat="false" ht="15" hidden="false" customHeight="false" outlineLevel="0" collapsed="false">
      <c r="A17" s="10" t="s">
        <v>510</v>
      </c>
      <c r="B17" s="47" t="n">
        <f aca="false">Historicals!$C$14+Inputs!$B$51/4</f>
        <v>8.324</v>
      </c>
      <c r="C17" s="47" t="n">
        <f aca="false">Inputs!$B$51*MAX(0,MIN(1,(Inputs!$B$55-1+0.5)/Inputs!$B$55))+$B27*IF(1&lt;=Inputs!$B$47,1,0)/Inputs!$B$47+C23*0.5/Inputs!$B$47</f>
        <v>23.4569792917296</v>
      </c>
      <c r="D17" s="47" t="n">
        <f aca="false">Inputs!$B$51*MAX(0,MIN(1,(Inputs!$B$55-2+0.5)/Inputs!$B$55))+$B27*IF(2&lt;=Inputs!$B$47,1,0)/Inputs!$B$47+C23*IF(1&lt;=Inputs!$B$47-1,1,IF(1=Inputs!$B$47,0.5,0))/Inputs!$B$47+D23*0.5/Inputs!$B$47</f>
        <v>43.4456180417296</v>
      </c>
      <c r="E17" s="47" t="n">
        <f aca="false">Inputs!$B$51*MAX(0,MIN(1,(Inputs!$B$55-3+0.5)/Inputs!$B$55))+$B27*IF(3&lt;=Inputs!$B$47,1,0)/Inputs!$B$47+C23*IF(2&lt;=Inputs!$B$47-1,1,IF(2=Inputs!$B$47,0.5,0))/Inputs!$B$47+D23*IF(1&lt;=Inputs!$B$47-1,1,IF(1=Inputs!$B$47,0.5,0))/Inputs!$B$47+E23*0.5/Inputs!$B$47</f>
        <v>64.4840647167296</v>
      </c>
      <c r="F17" s="47" t="n">
        <f aca="false">Inputs!$B$51*MAX(0,MIN(1,(Inputs!$B$55-4+0.5)/Inputs!$B$55))+$B27*IF(4&lt;=Inputs!$B$47,1,0)/Inputs!$B$47+C23*IF(3&lt;=Inputs!$B$47-1,1,IF(3=Inputs!$B$47,0.5,0))/Inputs!$B$47+D23*IF(2&lt;=Inputs!$B$47-1,1,IF(2=Inputs!$B$47,0.5,0))/Inputs!$B$47+E23*IF(1&lt;=Inputs!$B$47-1,1,IF(1=Inputs!$B$47,0.5,0))/Inputs!$B$47+F23*0.5/Inputs!$B$47</f>
        <v>81.2866970636046</v>
      </c>
    </row>
    <row r="18" customFormat="false" ht="15" hidden="false" customHeight="false" outlineLevel="0" collapsed="false">
      <c r="A18" s="10" t="s">
        <v>511</v>
      </c>
      <c r="B18" s="47" t="n">
        <f aca="false">Historicals!$C$15+Inputs!$B$52/4</f>
        <v>0.694</v>
      </c>
      <c r="C18" s="47" t="n">
        <f aca="false">Inputs!$B$52*MAX(0,MIN(1,(Inputs!$B$56-1+0.5)/Inputs!$B$56))+$B28*IF(1&lt;=Inputs!$B$48,1,0)/Inputs!$B$48+C24*0.5/Inputs!$B$48</f>
        <v>1.18776152013474</v>
      </c>
      <c r="D18" s="47" t="n">
        <f aca="false">Inputs!$B$52*MAX(0,MIN(1,(Inputs!$B$56-2+0.5)/Inputs!$B$56))+$B28*IF(2&lt;=Inputs!$B$48,1,0)/Inputs!$B$48+C24*IF(1&lt;=Inputs!$B$48-1,1,IF(1=Inputs!$B$48,0.5,0))/Inputs!$B$48+D24*0.5/Inputs!$B$48</f>
        <v>1.45505432013474</v>
      </c>
      <c r="E18" s="47" t="n">
        <f aca="false">Inputs!$B$52*MAX(0,MIN(1,(Inputs!$B$56-3+0.5)/Inputs!$B$56))+$B28*IF(3&lt;=Inputs!$B$48,1,0)/Inputs!$B$48+C24*IF(2&lt;=Inputs!$B$48-1,1,IF(2=Inputs!$B$48,0.5,0))/Inputs!$B$48+D24*IF(1&lt;=Inputs!$B$48-1,1,IF(1=Inputs!$B$48,0.5,0))/Inputs!$B$48+E24*0.5/Inputs!$B$48</f>
        <v>1.69228237773474</v>
      </c>
      <c r="F18" s="47" t="n">
        <f aca="false">Inputs!$B$52*MAX(0,MIN(1,(Inputs!$B$56-4+0.5)/Inputs!$B$56))+$B28*IF(4&lt;=Inputs!$B$48,1,0)/Inputs!$B$48+C24*IF(3&lt;=Inputs!$B$48-1,1,IF(3=Inputs!$B$48,0.5,0))/Inputs!$B$48+D24*IF(2&lt;=Inputs!$B$48-1,1,IF(2=Inputs!$B$48,0.5,0))/Inputs!$B$48+E24*IF(1&lt;=Inputs!$B$48-1,1,IF(1=Inputs!$B$48,0.5,0))/Inputs!$B$48+F24*0.5/Inputs!$B$48</f>
        <v>1.88926786168141</v>
      </c>
    </row>
    <row r="19" customFormat="false" ht="15" hidden="false" customHeight="false" outlineLevel="0" collapsed="false">
      <c r="A19" s="10" t="s">
        <v>512</v>
      </c>
      <c r="B19" s="47" t="n">
        <f aca="false">B16+B17+B18</f>
        <v>12.578</v>
      </c>
      <c r="C19" s="47" t="n">
        <f aca="false">C16+C17+C18</f>
        <v>29.3140004298401</v>
      </c>
      <c r="D19" s="47" t="n">
        <f aca="false">D16+D17+D18</f>
        <v>49.8914632298401</v>
      </c>
      <c r="E19" s="47" t="n">
        <f aca="false">E16+E17+E18</f>
        <v>71.5399244374401</v>
      </c>
      <c r="F19" s="47" t="n">
        <f aca="false">F16+F17+F18</f>
        <v>88.8656132667618</v>
      </c>
    </row>
    <row r="20" customFormat="false" ht="15" hidden="false" customHeight="false" outlineLevel="0" collapsed="false">
      <c r="A20" s="13" t="s">
        <v>513</v>
      </c>
      <c r="B20" s="18" t="n">
        <f aca="false">Historicals!$C$12+(Inputs!$C$87+Inputs!$C$88+Inputs!$C$89)*Inputs!$C$90-B15</f>
        <v>5.151</v>
      </c>
      <c r="C20" s="18" t="n">
        <f aca="false">C13-C14-C15-C19</f>
        <v>38.4152055701599</v>
      </c>
      <c r="D20" s="18" t="n">
        <f aca="false">D13-D14-D15-D19</f>
        <v>51.1328155368266</v>
      </c>
      <c r="E20" s="18" t="n">
        <f aca="false">E13-E14-E15-E19</f>
        <v>62.2747658295599</v>
      </c>
      <c r="F20" s="18" t="n">
        <f aca="false">F13-F14-F15-F19</f>
        <v>76.6988166909882</v>
      </c>
    </row>
    <row r="21" customFormat="false" ht="15" hidden="false" customHeight="false" outlineLevel="0" collapsed="false">
      <c r="A21" s="10" t="s">
        <v>514</v>
      </c>
      <c r="B21" s="19" t="n">
        <f aca="false">IFERROR(B20/B8,0)</f>
        <v>0.0994727999536528</v>
      </c>
      <c r="C21" s="19" t="n">
        <f aca="false">IFERROR(C20/C8,0)</f>
        <v>0.259174838485722</v>
      </c>
      <c r="D21" s="19" t="n">
        <f aca="false">IFERROR(D20/D8,0)</f>
        <v>0.232708357022313</v>
      </c>
      <c r="E21" s="19" t="n">
        <f aca="false">IFERROR(E20/E8,0)</f>
        <v>0.214783604432225</v>
      </c>
      <c r="F21" s="19" t="n">
        <f aca="false">IFERROR(F20/F8,0)</f>
        <v>0.214471906108187</v>
      </c>
    </row>
    <row r="22" customFormat="false" ht="15" hidden="false" customHeight="false" outlineLevel="0" collapsed="false">
      <c r="A22" s="10" t="s">
        <v>515</v>
      </c>
      <c r="B22" s="47" t="n">
        <f aca="false">Historicals!$C$19+B26</f>
        <v>7.19522308987904</v>
      </c>
      <c r="C22" s="47" t="n">
        <f aca="false">C5*(Inputs!$C$111+(Inputs!$C$112-Inputs!$C$111)*0/3)</f>
        <v>6.27615</v>
      </c>
      <c r="D22" s="47" t="n">
        <f aca="false">D5*(Inputs!$C$111+(Inputs!$C$112-Inputs!$C$111)*1/3)</f>
        <v>6.7991625</v>
      </c>
      <c r="E22" s="47" t="n">
        <f aca="false">E5*(Inputs!$C$111+(Inputs!$C$112-Inputs!$C$111)*2/3)</f>
        <v>6.78870225</v>
      </c>
      <c r="F22" s="47" t="n">
        <f aca="false">F5*(Inputs!$C$111+(Inputs!$C$112-Inputs!$C$111)*3/3)</f>
        <v>6.332007735</v>
      </c>
    </row>
    <row r="23" customFormat="false" ht="15" hidden="false" customHeight="false" outlineLevel="0" collapsed="false">
      <c r="A23" s="10" t="s">
        <v>516</v>
      </c>
      <c r="B23" s="47" t="n">
        <f aca="false">Historicals!$C$20+B27</f>
        <v>71.4679750421069</v>
      </c>
      <c r="C23" s="47" t="n">
        <f aca="false">C6*(Inputs!$C$113+(Inputs!$C$114-Inputs!$C$113)*0/3)</f>
        <v>140.81256</v>
      </c>
      <c r="D23" s="47" t="n">
        <f aca="false">D6*(Inputs!$C$113+(Inputs!$C$114-Inputs!$C$113)*1/3)</f>
        <v>166.7259825</v>
      </c>
      <c r="E23" s="47" t="n">
        <f aca="false">E6*(Inputs!$C$113+(Inputs!$C$114-Inputs!$C$113)*2/3)</f>
        <v>155.50987095</v>
      </c>
      <c r="F23" s="47" t="n">
        <f aca="false">F6*(Inputs!$C$113+(Inputs!$C$114-Inputs!$C$113)*3/3)</f>
        <v>107.42458190625</v>
      </c>
    </row>
    <row r="24" customFormat="false" ht="15" hidden="false" customHeight="false" outlineLevel="0" collapsed="false">
      <c r="A24" s="10" t="s">
        <v>517</v>
      </c>
      <c r="B24" s="47" t="n">
        <f aca="false">Historicals!$C$21+B28</f>
        <v>6.90580186801409</v>
      </c>
      <c r="C24" s="47" t="n">
        <f aca="false">C7*(Inputs!$C$115+(Inputs!$C$116-Inputs!$C$115)*0/3)</f>
        <v>4.04096</v>
      </c>
      <c r="D24" s="47" t="n">
        <f aca="false">D7*(Inputs!$C$115+(Inputs!$C$116-Inputs!$C$115)*1/3)</f>
        <v>3.77156266666667</v>
      </c>
      <c r="E24" s="47" t="n">
        <f aca="false">E7*(Inputs!$C$115+(Inputs!$C$116-Inputs!$C$115)*2/3)</f>
        <v>3.439665152</v>
      </c>
      <c r="F24" s="47" t="n">
        <f aca="false">F7*(Inputs!$C$115+(Inputs!$C$116-Inputs!$C$115)*3/3)</f>
        <v>2.9667111936</v>
      </c>
    </row>
    <row r="25" customFormat="false" ht="15" hidden="false" customHeight="false" outlineLevel="0" collapsed="false">
      <c r="A25" s="10" t="s">
        <v>518</v>
      </c>
      <c r="B25" s="47" t="n">
        <f aca="false">B22+B23+B24</f>
        <v>85.569</v>
      </c>
      <c r="C25" s="47" t="n">
        <f aca="false">C22+C23+C24</f>
        <v>151.12967</v>
      </c>
      <c r="D25" s="47" t="n">
        <f aca="false">D22+D23+D24</f>
        <v>177.296707666667</v>
      </c>
      <c r="E25" s="47" t="n">
        <f aca="false">E22+E23+E24</f>
        <v>165.738238352</v>
      </c>
      <c r="F25" s="47" t="n">
        <f aca="false">F22+F23+F24</f>
        <v>116.72330083485</v>
      </c>
    </row>
    <row r="26" customFormat="false" ht="15" hidden="false" customHeight="false" outlineLevel="0" collapsed="false">
      <c r="A26" s="10" t="s">
        <v>519</v>
      </c>
      <c r="B26" s="47" t="n">
        <f aca="false">Inputs!$C$91*Historicals!$B$19/Historicals!$B$22</f>
        <v>2.95322308987904</v>
      </c>
    </row>
    <row r="27" customFormat="false" ht="15" hidden="false" customHeight="false" outlineLevel="0" collapsed="false">
      <c r="A27" s="10" t="s">
        <v>520</v>
      </c>
      <c r="B27" s="47" t="n">
        <f aca="false">Inputs!$C$91*Historicals!$B$20/Historicals!$B$22</f>
        <v>31.4729750421069</v>
      </c>
    </row>
    <row r="28" customFormat="false" ht="15" hidden="false" customHeight="false" outlineLevel="0" collapsed="false">
      <c r="A28" s="10" t="s">
        <v>521</v>
      </c>
      <c r="B28" s="47" t="n">
        <f aca="false">Inputs!$C$91*Historicals!$B$21/Historicals!$B$22</f>
        <v>3.07380186801409</v>
      </c>
    </row>
    <row r="29" customFormat="false" ht="15" hidden="false" customHeight="false" outlineLevel="0" collapsed="false">
      <c r="A29" s="10" t="s">
        <v>522</v>
      </c>
      <c r="C29" s="48" t="n">
        <f aca="false">IFERROR(C25/C19,0)</f>
        <v>5.15554573868935</v>
      </c>
      <c r="D29" s="48" t="n">
        <f aca="false">IFERROR(D25/D19,0)</f>
        <v>3.55364818325523</v>
      </c>
      <c r="E29" s="48" t="n">
        <f aca="false">IFERROR(E25/E19,0)</f>
        <v>2.31672369876395</v>
      </c>
      <c r="F29" s="48" t="n">
        <f aca="false">IFERROR(F25/F19,0)</f>
        <v>1.31348107039405</v>
      </c>
    </row>
    <row r="30" customFormat="false" ht="15" hidden="false" customHeight="false" outlineLevel="0" collapsed="false">
      <c r="A30" s="10" t="s">
        <v>523</v>
      </c>
      <c r="B30" s="47" t="n">
        <f aca="false">B20-Inputs!$B$37*B25+Inputs!$B$37*B19</f>
        <v>-45.9427</v>
      </c>
      <c r="C30" s="47" t="n">
        <f aca="false">C20-Inputs!$B$37*C25+Inputs!$B$37*C19</f>
        <v>-46.855763128952</v>
      </c>
      <c r="D30" s="47" t="n">
        <f aca="false">D20-Inputs!$B$37*D25+Inputs!$B$37*D19</f>
        <v>-38.050855568952</v>
      </c>
      <c r="E30" s="47" t="n">
        <f aca="false">E20-Inputs!$B$37*E25+Inputs!$B$37*E19</f>
        <v>-3.664053910632</v>
      </c>
      <c r="F30" s="47" t="n">
        <f aca="false">F20-Inputs!$B$37*F25+Inputs!$B$37*F19</f>
        <v>57.1984353933265</v>
      </c>
    </row>
    <row r="31" customFormat="false" ht="15" hidden="false" customHeight="false" outlineLevel="0" collapsed="false">
      <c r="A31" s="10" t="s">
        <v>524</v>
      </c>
      <c r="B31" s="47" t="n">
        <f aca="false">MIN(Historicals!$B$47,MAX(0,B30),1E+099)</f>
        <v>0</v>
      </c>
      <c r="C31" s="47" t="n">
        <f aca="false">MIN(B33,MAX(0,C30),Inputs!$B$36)</f>
        <v>0</v>
      </c>
      <c r="D31" s="47" t="n">
        <f aca="false">MIN(C33,MAX(0,D30),Inputs!$B$36)</f>
        <v>0</v>
      </c>
      <c r="E31" s="47" t="n">
        <f aca="false">MIN(D33,MAX(0,E30),Inputs!$B$36)</f>
        <v>0</v>
      </c>
      <c r="F31" s="47" t="n">
        <f aca="false">MIN(E33,MAX(0,F30),Inputs!$B$36)</f>
        <v>51.1767</v>
      </c>
    </row>
    <row r="32" customFormat="false" ht="15" hidden="false" customHeight="false" outlineLevel="0" collapsed="false">
      <c r="A32" s="10" t="s">
        <v>525</v>
      </c>
      <c r="B32" s="47" t="n">
        <f aca="false">MIN(0,MAX(0,B30)-B31)</f>
        <v>0</v>
      </c>
      <c r="C32" s="47" t="n">
        <f aca="false">MIN(B34,MAX(0,C30)-C31)</f>
        <v>0</v>
      </c>
      <c r="D32" s="47" t="n">
        <f aca="false">MIN(C34,MAX(0,D30)-D31)</f>
        <v>0</v>
      </c>
      <c r="E32" s="47" t="n">
        <f aca="false">MIN(D34,MAX(0,E30)-E31)</f>
        <v>0</v>
      </c>
      <c r="F32" s="47" t="n">
        <f aca="false">MIN(E34,MAX(0,F30)-F31)</f>
        <v>6.02173539332648</v>
      </c>
    </row>
    <row r="33" customFormat="false" ht="15" hidden="false" customHeight="false" outlineLevel="0" collapsed="false">
      <c r="A33" s="10" t="s">
        <v>526</v>
      </c>
      <c r="B33" s="47" t="n">
        <f aca="false">Historicals!$B$47-B31+MAX(0,-B30)</f>
        <v>51.1767</v>
      </c>
      <c r="C33" s="47" t="n">
        <f aca="false">B33-C31</f>
        <v>51.1767</v>
      </c>
      <c r="D33" s="47" t="n">
        <f aca="false">C33-D31</f>
        <v>51.1767</v>
      </c>
      <c r="E33" s="47" t="n">
        <f aca="false">D33-E31</f>
        <v>51.1767</v>
      </c>
      <c r="F33" s="47" t="n">
        <f aca="false">E33-F31</f>
        <v>0</v>
      </c>
    </row>
    <row r="34" customFormat="false" ht="15" hidden="false" customHeight="false" outlineLevel="0" collapsed="false">
      <c r="A34" s="10" t="s">
        <v>527</v>
      </c>
      <c r="B34" s="26" t="n">
        <v>0</v>
      </c>
      <c r="C34" s="47" t="n">
        <f aca="false">B34-C32+MAX(0,-C30)</f>
        <v>46.855763128952</v>
      </c>
      <c r="D34" s="47" t="n">
        <f aca="false">C34-D32+MAX(0,-D30)</f>
        <v>84.906618697904</v>
      </c>
      <c r="E34" s="47" t="n">
        <f aca="false">D34-E32+MAX(0,-E30)</f>
        <v>88.570672608536</v>
      </c>
      <c r="F34" s="47" t="n">
        <f aca="false">E34-F32+MAX(0,-F30)</f>
        <v>82.5489372152096</v>
      </c>
    </row>
    <row r="35" customFormat="false" ht="15" hidden="false" customHeight="false" outlineLevel="0" collapsed="false">
      <c r="A35" s="10" t="s">
        <v>528</v>
      </c>
      <c r="B35" s="47" t="n">
        <f aca="false">MAX(0,B30-B31-B32)*Inputs!$B$34</f>
        <v>0</v>
      </c>
      <c r="C35" s="47" t="n">
        <f aca="false">MAX(0,C30-C31-C32)*Inputs!$B$34</f>
        <v>0</v>
      </c>
      <c r="D35" s="47" t="n">
        <f aca="false">MAX(0,D30-D31-D32)*Inputs!$B$34</f>
        <v>0</v>
      </c>
      <c r="E35" s="47" t="n">
        <f aca="false">MAX(0,E30-E31-E32)*Inputs!$B$34</f>
        <v>0</v>
      </c>
      <c r="F35" s="47" t="n">
        <f aca="false">MAX(0,F30-F31-F32)*Inputs!$B$34</f>
        <v>0</v>
      </c>
    </row>
    <row r="36" customFormat="false" ht="15" hidden="false" customHeight="false" outlineLevel="0" collapsed="false">
      <c r="A36" s="10" t="s">
        <v>529</v>
      </c>
      <c r="B36" s="47" t="n">
        <f aca="false">B30-B35</f>
        <v>-45.9427</v>
      </c>
      <c r="C36" s="47" t="n">
        <f aca="false">C30-C35</f>
        <v>-46.855763128952</v>
      </c>
      <c r="D36" s="47" t="n">
        <f aca="false">D30-D35</f>
        <v>-38.050855568952</v>
      </c>
      <c r="E36" s="47" t="n">
        <f aca="false">E30-E35</f>
        <v>-3.664053910632</v>
      </c>
      <c r="F36" s="47" t="n">
        <f aca="false">F30-F35</f>
        <v>57.1984353933265</v>
      </c>
    </row>
    <row r="37" customFormat="false" ht="15" hidden="false" customHeight="false" outlineLevel="0" collapsed="false">
      <c r="A37" s="10" t="s">
        <v>530</v>
      </c>
      <c r="B37" s="47" t="n">
        <f aca="false">MIN(Historicals!$B$46,Inputs!$B$35*MAX(0,B36),1E+099)</f>
        <v>0</v>
      </c>
      <c r="C37" s="47" t="n">
        <f aca="false">MIN(B39,Inputs!$B$35*MAX(0,C36),Inputs!$B$36)</f>
        <v>0</v>
      </c>
      <c r="D37" s="47" t="n">
        <f aca="false">MIN(C39,Inputs!$B$35*MAX(0,D36),Inputs!$B$36)</f>
        <v>0</v>
      </c>
      <c r="E37" s="47" t="n">
        <f aca="false">MIN(D39,Inputs!$B$35*MAX(0,E36),Inputs!$B$36)</f>
        <v>0</v>
      </c>
      <c r="F37" s="47" t="n">
        <f aca="false">MIN(E39,Inputs!$B$35*MAX(0,F36),Inputs!$B$36)</f>
        <v>45.7587483146612</v>
      </c>
    </row>
    <row r="38" customFormat="false" ht="15" hidden="false" customHeight="false" outlineLevel="0" collapsed="false">
      <c r="A38" s="10" t="s">
        <v>531</v>
      </c>
      <c r="B38" s="47" t="n">
        <f aca="false">MIN(0,Inputs!$B$35*MAX(0,B36)-B37)</f>
        <v>0</v>
      </c>
      <c r="C38" s="47" t="n">
        <f aca="false">MIN(B40,Inputs!$B$35*MAX(0,C36)-C37)</f>
        <v>0</v>
      </c>
      <c r="D38" s="47" t="n">
        <f aca="false">MIN(C40,Inputs!$B$35*MAX(0,D36)-D37)</f>
        <v>0</v>
      </c>
      <c r="E38" s="47" t="n">
        <f aca="false">MIN(D40,Inputs!$B$35*MAX(0,E36)-E37)</f>
        <v>0</v>
      </c>
      <c r="F38" s="47" t="n">
        <f aca="false">MIN(E40,Inputs!$B$35*MAX(0,F36)-F37)</f>
        <v>0</v>
      </c>
    </row>
    <row r="39" customFormat="false" ht="15" hidden="false" customHeight="false" outlineLevel="0" collapsed="false">
      <c r="A39" s="10" t="s">
        <v>532</v>
      </c>
      <c r="B39" s="47" t="n">
        <f aca="false">Historicals!$B$46-B37+MAX(0,-B36)</f>
        <v>55.6707</v>
      </c>
      <c r="C39" s="47" t="n">
        <f aca="false">B39-C37</f>
        <v>55.6707</v>
      </c>
      <c r="D39" s="47" t="n">
        <f aca="false">C39-D37</f>
        <v>55.6707</v>
      </c>
      <c r="E39" s="47" t="n">
        <f aca="false">D39-E37</f>
        <v>55.6707</v>
      </c>
      <c r="F39" s="47" t="n">
        <f aca="false">E39-F37</f>
        <v>9.91195168533881</v>
      </c>
    </row>
    <row r="40" customFormat="false" ht="15" hidden="false" customHeight="false" outlineLevel="0" collapsed="false">
      <c r="A40" s="10" t="s">
        <v>533</v>
      </c>
      <c r="B40" s="26" t="n">
        <v>0</v>
      </c>
      <c r="C40" s="47" t="n">
        <f aca="false">B40-C38+MAX(0,-C36)</f>
        <v>46.855763128952</v>
      </c>
      <c r="D40" s="47" t="n">
        <f aca="false">C40-D38+MAX(0,-D36)</f>
        <v>84.906618697904</v>
      </c>
      <c r="E40" s="47" t="n">
        <f aca="false">D40-E38+MAX(0,-E36)</f>
        <v>88.570672608536</v>
      </c>
      <c r="F40" s="47" t="n">
        <f aca="false">E40-F38+MAX(0,-F36)</f>
        <v>88.570672608536</v>
      </c>
    </row>
    <row r="41" customFormat="false" ht="15" hidden="false" customHeight="false" outlineLevel="0" collapsed="false">
      <c r="A41" s="10" t="s">
        <v>534</v>
      </c>
      <c r="B41" s="47" t="n">
        <f aca="false">MAX(0,B36-B37-B38)*Inputs!$B$33</f>
        <v>0</v>
      </c>
      <c r="C41" s="47" t="n">
        <f aca="false">MAX(0,C36-C37-C38)*Inputs!$B$33</f>
        <v>0</v>
      </c>
      <c r="D41" s="47" t="n">
        <f aca="false">MAX(0,D36-D37-D38)*Inputs!$B$33</f>
        <v>0</v>
      </c>
      <c r="E41" s="47" t="n">
        <f aca="false">MAX(0,E36-E37-E38)*Inputs!$B$33</f>
        <v>0</v>
      </c>
      <c r="F41" s="47" t="n">
        <f aca="false">MAX(0,F36-F37-F38)*Inputs!$B$33</f>
        <v>2.40233428651971</v>
      </c>
    </row>
    <row r="42" customFormat="false" ht="15" hidden="false" customHeight="false" outlineLevel="0" collapsed="false">
      <c r="A42" s="10" t="s">
        <v>535</v>
      </c>
      <c r="B42" s="47" t="n">
        <f aca="false">MIN(Historicals!$B$48,B41,MAX(0,1E+099-B37)*Inputs!$B$33)</f>
        <v>0</v>
      </c>
      <c r="C42" s="47" t="n">
        <f aca="false">MIN(B43,C41,MAX(0,Inputs!$B$36-C37)*Inputs!$B$33)</f>
        <v>0</v>
      </c>
      <c r="D42" s="47" t="n">
        <f aca="false">MIN(C43,D41,MAX(0,Inputs!$B$36-D37)*Inputs!$B$33)</f>
        <v>0</v>
      </c>
      <c r="E42" s="47" t="n">
        <f aca="false">MIN(D43,E41,MAX(0,Inputs!$B$36-E37)*Inputs!$B$33)</f>
        <v>0</v>
      </c>
      <c r="F42" s="47" t="n">
        <f aca="false">MIN(E43,F41,MAX(0,Inputs!$B$36-F37)*Inputs!$B$33)</f>
        <v>2.40233428651971</v>
      </c>
    </row>
    <row r="43" customFormat="false" ht="15" hidden="false" customHeight="false" outlineLevel="0" collapsed="false">
      <c r="A43" s="10" t="s">
        <v>536</v>
      </c>
      <c r="B43" s="47" t="n">
        <f aca="false">Historicals!$B$48-B42</f>
        <v>3.586</v>
      </c>
      <c r="C43" s="47" t="n">
        <f aca="false">B43-C42</f>
        <v>3.586</v>
      </c>
      <c r="D43" s="47" t="n">
        <f aca="false">C43-D42</f>
        <v>3.586</v>
      </c>
      <c r="E43" s="47" t="n">
        <f aca="false">D43-E42</f>
        <v>3.586</v>
      </c>
      <c r="F43" s="47" t="n">
        <f aca="false">E43-F42</f>
        <v>1.18366571348029</v>
      </c>
    </row>
    <row r="44" customFormat="false" ht="15" hidden="false" customHeight="false" outlineLevel="0" collapsed="false">
      <c r="A44" s="13" t="s">
        <v>537</v>
      </c>
      <c r="B44" s="18" t="n">
        <f aca="false">MAX(0,(Inputs!$C$87+Inputs!$C$88+Inputs!$C$89)*Inputs!$C$90)*Inputs!$B$40</f>
        <v>0</v>
      </c>
      <c r="C44" s="18" t="n">
        <f aca="false">C41-C42+C35</f>
        <v>0</v>
      </c>
      <c r="D44" s="18" t="n">
        <f aca="false">D41-D42+D35</f>
        <v>0</v>
      </c>
      <c r="E44" s="18" t="n">
        <f aca="false">E41-E42+E35</f>
        <v>0</v>
      </c>
      <c r="F44" s="18" t="n">
        <f aca="false">F41-F42+F35</f>
        <v>0</v>
      </c>
    </row>
    <row r="45" customFormat="false" ht="15" hidden="false" customHeight="false" outlineLevel="0" collapsed="false">
      <c r="A45" s="10" t="s">
        <v>538</v>
      </c>
      <c r="B45" s="47" t="n">
        <f aca="false">0+Inputs!$B$37*(B25-B19)</f>
        <v>51.0937</v>
      </c>
      <c r="C45" s="47" t="n">
        <f aca="false">B45+Inputs!$B$37*(C25-C19)</f>
        <v>136.364668699112</v>
      </c>
      <c r="D45" s="47" t="n">
        <f aca="false">C45+Inputs!$B$37*(D25-D19)</f>
        <v>225.54833980489</v>
      </c>
      <c r="E45" s="47" t="n">
        <f aca="false">D45+Inputs!$B$37*(E25-E19)</f>
        <v>291.487159545082</v>
      </c>
      <c r="F45" s="47" t="n">
        <f aca="false">E45+Inputs!$B$37*(F25-F19)</f>
        <v>310.987540842744</v>
      </c>
    </row>
    <row r="46" customFormat="false" ht="15" hidden="false" customHeight="false" outlineLevel="0" collapsed="false">
      <c r="A46" s="10" t="s">
        <v>539</v>
      </c>
      <c r="B46" s="47" t="n">
        <f aca="false">B45*Inputs!$B$79</f>
        <v>12.34423792</v>
      </c>
      <c r="C46" s="47" t="n">
        <f aca="false">C45*Inputs!$B$79</f>
        <v>32.9457039577054</v>
      </c>
      <c r="D46" s="47" t="n">
        <f aca="false">D45*Inputs!$B$79</f>
        <v>54.4924788968615</v>
      </c>
      <c r="E46" s="47" t="n">
        <f aca="false">E45*Inputs!$B$79</f>
        <v>70.4232977460919</v>
      </c>
      <c r="F46" s="47" t="n">
        <f aca="false">F45*Inputs!$B$79</f>
        <v>75.134589867607</v>
      </c>
    </row>
    <row r="47" customFormat="false" ht="15" hidden="false" customHeight="false" outlineLevel="0" collapsed="false">
      <c r="A47" s="10" t="s">
        <v>540</v>
      </c>
      <c r="C47" s="47" t="n">
        <f aca="false">C20-C44</f>
        <v>38.4152055701599</v>
      </c>
      <c r="D47" s="47" t="n">
        <f aca="false">D20-D44</f>
        <v>51.1328155368266</v>
      </c>
      <c r="E47" s="47" t="n">
        <f aca="false">E20-E44</f>
        <v>62.2747658295599</v>
      </c>
      <c r="F47" s="47" t="n">
        <f aca="false">F20-F44</f>
        <v>76.6988166909882</v>
      </c>
    </row>
    <row r="48" customFormat="false" ht="15" hidden="false" customHeight="false" outlineLevel="0" collapsed="false">
      <c r="A48" s="10" t="s">
        <v>541</v>
      </c>
      <c r="C48" s="47" t="n">
        <f aca="false">Inputs!$B$64*(C8-B8)</f>
        <v>0</v>
      </c>
      <c r="D48" s="47" t="n">
        <f aca="false">Inputs!$B$64*(D8-C8)</f>
        <v>0</v>
      </c>
      <c r="E48" s="47" t="n">
        <f aca="false">Inputs!$B$64*(E8-D8)</f>
        <v>0</v>
      </c>
      <c r="F48" s="47" t="n">
        <f aca="false">Inputs!$B$64*(F8-E8)</f>
        <v>0</v>
      </c>
    </row>
    <row r="49" customFormat="false" ht="15" hidden="false" customHeight="false" outlineLevel="0" collapsed="false">
      <c r="A49" s="13" t="s">
        <v>542</v>
      </c>
      <c r="B49" s="18" t="n">
        <f aca="false">B50-B14</f>
        <v>-29.41</v>
      </c>
      <c r="C49" s="18" t="n">
        <f aca="false">C20+C19-C44-C25-C48</f>
        <v>-83.400464</v>
      </c>
      <c r="D49" s="18" t="n">
        <f aca="false">D20+D19-D44-D25-D48</f>
        <v>-76.2724289</v>
      </c>
      <c r="E49" s="18" t="n">
        <f aca="false">E20+E19-E44-E25-E48</f>
        <v>-31.923548085</v>
      </c>
      <c r="F49" s="18" t="n">
        <f aca="false">F20+F19-F44-F25-F48</f>
        <v>48.8411291229</v>
      </c>
    </row>
    <row r="50" customFormat="false" ht="15" hidden="false" customHeight="false" outlineLevel="0" collapsed="false">
      <c r="A50" s="10" t="s">
        <v>543</v>
      </c>
      <c r="B50" s="47" t="n">
        <f aca="false">(Inputs!$C$87+Inputs!$C$88+Inputs!$C$89)*Inputs!$C$90+(Inputs!$B$50+Inputs!$B$51+Inputs!$B$52)/4+B14-B44-Inputs!$C$91</f>
        <v>-27.434</v>
      </c>
      <c r="C50" s="47" t="n">
        <f aca="false">C49+C14+C15</f>
        <v>-71.542768</v>
      </c>
      <c r="D50" s="47" t="n">
        <f aca="false">D49+D14+D15</f>
        <v>-58.69409482</v>
      </c>
      <c r="E50" s="47" t="n">
        <f aca="false">E49+E14+E15</f>
        <v>-8.72819628179999</v>
      </c>
      <c r="F50" s="47" t="n">
        <f aca="false">F49+F14+F15</f>
        <v>77.45049548058</v>
      </c>
    </row>
    <row r="51" customFormat="false" ht="15" hidden="false" customHeight="false" outlineLevel="0" collapsed="false">
      <c r="A51" s="10" t="s">
        <v>544</v>
      </c>
      <c r="B51" s="47" t="n">
        <f aca="false">Historicals!$B$36+Historicals!$B$37</f>
        <v>89.855</v>
      </c>
      <c r="C51" s="47" t="n">
        <f aca="false">B62</f>
        <v>62.6006180904523</v>
      </c>
      <c r="D51" s="47" t="n">
        <f aca="false">C62</f>
        <v>10</v>
      </c>
      <c r="E51" s="47" t="n">
        <f aca="false">D62</f>
        <v>10</v>
      </c>
      <c r="F51" s="47" t="n">
        <f aca="false">E62</f>
        <v>10</v>
      </c>
    </row>
    <row r="52" customFormat="false" ht="15" hidden="false" customHeight="false" outlineLevel="0" collapsed="false">
      <c r="A52" s="10" t="s">
        <v>545</v>
      </c>
      <c r="B52" s="47" t="n">
        <f aca="false">Historicals!$B$38</f>
        <v>38.844</v>
      </c>
      <c r="C52" s="47" t="n">
        <f aca="false">B63</f>
        <v>38.844</v>
      </c>
      <c r="D52" s="47" t="n">
        <f aca="false">C63</f>
        <v>59.4906432788945</v>
      </c>
      <c r="E52" s="47" t="n">
        <f aca="false">D63</f>
        <v>123.931823921325</v>
      </c>
      <c r="F52" s="47" t="n">
        <f aca="false">E63</f>
        <v>140.352767376617</v>
      </c>
    </row>
    <row r="53" customFormat="false" ht="15" hidden="false" customHeight="false" outlineLevel="0" collapsed="false">
      <c r="A53" s="10" t="s">
        <v>546</v>
      </c>
      <c r="B53" s="26" t="n">
        <v>0</v>
      </c>
      <c r="C53" s="47" t="n">
        <f aca="false">Inputs!$B$62</f>
        <v>0</v>
      </c>
      <c r="D53" s="26" t="n">
        <v>0</v>
      </c>
      <c r="E53" s="26" t="n">
        <v>0</v>
      </c>
      <c r="F53" s="26" t="n">
        <v>0</v>
      </c>
    </row>
    <row r="54" customFormat="false" ht="15" hidden="false" customHeight="false" outlineLevel="0" collapsed="false">
      <c r="A54" s="10" t="s">
        <v>547</v>
      </c>
      <c r="B54" s="47" t="n">
        <f aca="false">(B51+B50-B53+Inputs!$B$60/4*B51/2-Inputs!$B$61/4*(B52-B53/2))/(1-Inputs!$B$60/4/2)</f>
        <v>62.6006180904523</v>
      </c>
      <c r="C54" s="47" t="n">
        <f aca="false">(C51+C50-C53+Inputs!$B$60*C51/2-Inputs!$B$61*(C52-C53/2))/(1-Inputs!$B$60/2)</f>
        <v>-10.2252832119783</v>
      </c>
      <c r="D54" s="47" t="n">
        <f aca="false">(D51+D50-D53+Inputs!$B$60*D51/2-Inputs!$B$61*(D52-D53/2))/(1-Inputs!$B$60/2)</f>
        <v>-53.1260545068711</v>
      </c>
      <c r="E54" s="47" t="n">
        <f aca="false">(E51+E50-E53+Inputs!$B$60*E51/2-Inputs!$B$61*(E52-E53/2))/(1-Inputs!$B$60/2)</f>
        <v>-6.08582216028522</v>
      </c>
      <c r="F54" s="47" t="n">
        <f aca="false">(F51+F50-F53+Inputs!$B$60*F51/2-Inputs!$B$61*(F52-F53/2))/(1-Inputs!$B$60/2)</f>
        <v>80.8462545285541</v>
      </c>
    </row>
    <row r="55" customFormat="false" ht="15" hidden="false" customHeight="false" outlineLevel="0" collapsed="false">
      <c r="A55" s="10" t="s">
        <v>548</v>
      </c>
      <c r="B55" s="47" t="n">
        <f aca="false">IF(B54&gt;=Inputs!$B$66,0,(Inputs!$B$66-B51-B50+B53-Inputs!$B$60/4*(B51+Inputs!$B$66)/2+Inputs!$B$61/4*(B52-B53/2))/(1-Inputs!$B$61/4*Inputs!$B$69/(2*(1-Inputs!$B$70))))</f>
        <v>0</v>
      </c>
      <c r="C55" s="47" t="n">
        <f aca="false">IF(C54&gt;=Inputs!$B$66,0,(Inputs!$B$66-C51-C50+C53-Inputs!$B$60*(C51+Inputs!$B$66)/2+Inputs!$B$61*(C52-C53/2))/(1-Inputs!$B$61*Inputs!$B$69/(2*(1-Inputs!$B$70))))</f>
        <v>20.4401768461055</v>
      </c>
      <c r="D55" s="47" t="n">
        <f aca="false">IF(D54&gt;=Inputs!$B$66,0,(Inputs!$B$66-D51-D50+D53-Inputs!$B$60*(D51+Inputs!$B$66)/2+Inputs!$B$61*(D52-D53/2))/(1-Inputs!$B$61*Inputs!$B$69/(2*(1-Inputs!$B$70))))</f>
        <v>63.7967688360066</v>
      </c>
      <c r="E55" s="47" t="n">
        <f aca="false">IF(E54&gt;=Inputs!$B$66,0,(Inputs!$B$66-E51-E50+E53-Inputs!$B$60*(E51+Inputs!$B$66)/2+Inputs!$B$61*(E52-E53/2))/(1-Inputs!$B$61*Inputs!$B$69/(2*(1-Inputs!$B$70))))</f>
        <v>16.2567340207382</v>
      </c>
      <c r="F55" s="47" t="n">
        <f aca="false">IF(F54&gt;=Inputs!$B$66,0,(Inputs!$B$66-F51-F50+F53-Inputs!$B$60*(F51+Inputs!$B$66)/2+Inputs!$B$61*(F52-F53/2))/(1-Inputs!$B$61*Inputs!$B$69/(2*(1-Inputs!$B$70))))</f>
        <v>0</v>
      </c>
    </row>
    <row r="56" customFormat="false" ht="15" hidden="false" customHeight="false" outlineLevel="0" collapsed="false">
      <c r="A56" s="10" t="s">
        <v>549</v>
      </c>
      <c r="B56" s="47" t="n">
        <f aca="false">B55/(1-Inputs!$B$70)</f>
        <v>0</v>
      </c>
      <c r="C56" s="47" t="n">
        <f aca="false">C55/(1-Inputs!$B$70)</f>
        <v>20.6466432788945</v>
      </c>
      <c r="D56" s="47" t="n">
        <f aca="false">D55/(1-Inputs!$B$70)</f>
        <v>64.4411806424309</v>
      </c>
      <c r="E56" s="47" t="n">
        <f aca="false">E55/(1-Inputs!$B$70)</f>
        <v>16.4209434552912</v>
      </c>
      <c r="F56" s="47" t="n">
        <f aca="false">F55/(1-Inputs!$B$70)</f>
        <v>0</v>
      </c>
    </row>
    <row r="57" customFormat="false" ht="15" hidden="false" customHeight="false" outlineLevel="0" collapsed="false">
      <c r="A57" s="10" t="s">
        <v>550</v>
      </c>
      <c r="B57" s="47" t="n">
        <f aca="false">B56*Inputs!$B$69</f>
        <v>0</v>
      </c>
      <c r="C57" s="47" t="n">
        <f aca="false">C56*Inputs!$B$69</f>
        <v>20.6466432788945</v>
      </c>
      <c r="D57" s="47" t="n">
        <f aca="false">D56*Inputs!$B$69</f>
        <v>64.4411806424309</v>
      </c>
      <c r="E57" s="47" t="n">
        <f aca="false">E56*Inputs!$B$69</f>
        <v>16.4209434552912</v>
      </c>
      <c r="F57" s="47" t="n">
        <f aca="false">F56*Inputs!$B$69</f>
        <v>0</v>
      </c>
    </row>
    <row r="58" customFormat="false" ht="15" hidden="false" customHeight="false" outlineLevel="0" collapsed="false">
      <c r="A58" s="10" t="s">
        <v>551</v>
      </c>
      <c r="B58" s="47" t="n">
        <f aca="false">B56-B57</f>
        <v>0</v>
      </c>
      <c r="C58" s="47" t="n">
        <f aca="false">C56-C57</f>
        <v>0</v>
      </c>
      <c r="D58" s="47" t="n">
        <f aca="false">D56-D57</f>
        <v>0</v>
      </c>
      <c r="E58" s="47" t="n">
        <f aca="false">E56-E57</f>
        <v>0</v>
      </c>
      <c r="F58" s="47" t="n">
        <f aca="false">F56-F57</f>
        <v>0</v>
      </c>
    </row>
    <row r="59" customFormat="false" ht="15" hidden="false" customHeight="false" outlineLevel="0" collapsed="false">
      <c r="A59" s="10" t="s">
        <v>552</v>
      </c>
      <c r="B59" s="47" t="n">
        <f aca="false">B56-B55</f>
        <v>0</v>
      </c>
      <c r="C59" s="47" t="n">
        <f aca="false">C56-C55</f>
        <v>0.206466432788943</v>
      </c>
      <c r="D59" s="47" t="n">
        <f aca="false">D56-D55</f>
        <v>0.644411806424309</v>
      </c>
      <c r="E59" s="47" t="n">
        <f aca="false">E56-E55</f>
        <v>0.164209434552912</v>
      </c>
      <c r="F59" s="47" t="n">
        <f aca="false">F56-F55</f>
        <v>0</v>
      </c>
    </row>
    <row r="60" customFormat="false" ht="15" hidden="false" customHeight="false" outlineLevel="0" collapsed="false">
      <c r="A60" s="10" t="s">
        <v>553</v>
      </c>
      <c r="B60" s="47" t="n">
        <f aca="false">Inputs!$B$60/4*(B51+B62)/2</f>
        <v>0.762278090452261</v>
      </c>
      <c r="C60" s="47" t="n">
        <f aca="false">Inputs!$B$60*(C51+C62)/2</f>
        <v>1.45201236180905</v>
      </c>
      <c r="D60" s="47" t="n">
        <f aca="false">Inputs!$B$60*(D51+D62)/2</f>
        <v>0.4</v>
      </c>
      <c r="E60" s="47" t="n">
        <f aca="false">Inputs!$B$60*(E51+E62)/2</f>
        <v>0.4</v>
      </c>
      <c r="F60" s="47" t="n">
        <f aca="false">Inputs!$B$60*(F51+F62)/2</f>
        <v>1.81692509057108</v>
      </c>
    </row>
    <row r="61" customFormat="false" ht="15" hidden="false" customHeight="false" outlineLevel="0" collapsed="false">
      <c r="A61" s="10" t="s">
        <v>554</v>
      </c>
      <c r="B61" s="47" t="n">
        <f aca="false">Inputs!$B$61/4*(B52-B53/2+B57/2)</f>
        <v>0.58266</v>
      </c>
      <c r="C61" s="47" t="n">
        <f aca="false">Inputs!$B$61*(C52-C53/2+C57/2)</f>
        <v>2.95003929836683</v>
      </c>
      <c r="D61" s="47" t="n">
        <f aca="false">Inputs!$B$61*(D52-D53/2+D57/2)</f>
        <v>5.50267401600659</v>
      </c>
      <c r="E61" s="47" t="n">
        <f aca="false">Inputs!$B$61*(E52-E53/2+E57/2)</f>
        <v>7.92853773893826</v>
      </c>
      <c r="F61" s="47" t="n">
        <f aca="false">Inputs!$B$61*(F52-F53/2+F57/2)</f>
        <v>8.42116604259699</v>
      </c>
    </row>
    <row r="62" customFormat="false" ht="15" hidden="false" customHeight="false" outlineLevel="0" collapsed="false">
      <c r="A62" s="13" t="s">
        <v>555</v>
      </c>
      <c r="B62" s="18" t="n">
        <f aca="false">IF(B55&gt;0,Inputs!$B$66,B54)</f>
        <v>62.6006180904523</v>
      </c>
      <c r="C62" s="18" t="n">
        <f aca="false">IF(C55&gt;0,Inputs!$B$66,C54)</f>
        <v>10</v>
      </c>
      <c r="D62" s="18" t="n">
        <f aca="false">IF(D55&gt;0,Inputs!$B$66,D54)</f>
        <v>10</v>
      </c>
      <c r="E62" s="18" t="n">
        <f aca="false">IF(E55&gt;0,Inputs!$B$66,E54)</f>
        <v>10</v>
      </c>
      <c r="F62" s="18" t="n">
        <f aca="false">IF(F55&gt;0,Inputs!$B$66,F54)</f>
        <v>80.8462545285541</v>
      </c>
    </row>
    <row r="63" customFormat="false" ht="15" hidden="false" customHeight="false" outlineLevel="0" collapsed="false">
      <c r="A63" s="10" t="s">
        <v>556</v>
      </c>
      <c r="B63" s="47" t="n">
        <f aca="false">B52-B53+B57</f>
        <v>38.844</v>
      </c>
      <c r="C63" s="47" t="n">
        <f aca="false">C52-C53+C57</f>
        <v>59.4906432788945</v>
      </c>
      <c r="D63" s="47" t="n">
        <f aca="false">D52-D53+D57</f>
        <v>123.931823921325</v>
      </c>
      <c r="E63" s="47" t="n">
        <f aca="false">E52-E53+E57</f>
        <v>140.352767376617</v>
      </c>
      <c r="F63" s="47" t="n">
        <f aca="false">F52-F53+F57</f>
        <v>140.352767376617</v>
      </c>
    </row>
    <row r="64" customFormat="false" ht="15" hidden="false" customHeight="false" outlineLevel="0" collapsed="false">
      <c r="A64" s="13" t="s">
        <v>557</v>
      </c>
      <c r="B64" s="18" t="n">
        <f aca="false">B62-B63</f>
        <v>23.7566180904523</v>
      </c>
      <c r="C64" s="18" t="n">
        <f aca="false">C62-C63</f>
        <v>-49.4906432788945</v>
      </c>
      <c r="D64" s="18" t="n">
        <f aca="false">D62-D63</f>
        <v>-113.931823921325</v>
      </c>
      <c r="E64" s="18" t="n">
        <f aca="false">E62-E63</f>
        <v>-130.352767376617</v>
      </c>
      <c r="F64" s="18" t="n">
        <f aca="false">F62-F63</f>
        <v>-59.5065128480624</v>
      </c>
    </row>
    <row r="65" customFormat="false" ht="15" hidden="false" customHeight="false" outlineLevel="0" collapsed="false">
      <c r="A65" s="10" t="s">
        <v>558</v>
      </c>
      <c r="B65" s="33" t="n">
        <f aca="false">ROUND(B51+B50-B53+B60-B61+B55-B62,6)</f>
        <v>0</v>
      </c>
      <c r="C65" s="33" t="n">
        <f aca="false">ROUND(C51+C50-C53+C60-C61+C55-C62,6)</f>
        <v>0</v>
      </c>
      <c r="D65" s="33" t="n">
        <f aca="false">ROUND(D51+D50-D53+D60-D61+D55-D62,6)</f>
        <v>0</v>
      </c>
      <c r="E65" s="33" t="n">
        <f aca="false">ROUND(E51+E50-E53+E60-E61+E55-E62,6)</f>
        <v>0</v>
      </c>
      <c r="F65" s="33" t="n">
        <f aca="false">ROUND(F51+F50-F53+F60-F61+F55-F62,6)</f>
        <v>0</v>
      </c>
    </row>
    <row r="66" customFormat="false" ht="15" hidden="false" customHeight="false" outlineLevel="0" collapsed="false">
      <c r="A66" s="10" t="s">
        <v>559</v>
      </c>
      <c r="B66" s="47" t="n">
        <f aca="false">B56</f>
        <v>0</v>
      </c>
      <c r="C66" s="47" t="n">
        <f aca="false">B66+C56</f>
        <v>20.6466432788945</v>
      </c>
      <c r="D66" s="47" t="n">
        <f aca="false">C66+D56</f>
        <v>85.0878239213253</v>
      </c>
      <c r="E66" s="47" t="n">
        <f aca="false">D66+E56</f>
        <v>101.508767376617</v>
      </c>
      <c r="F66" s="47" t="n">
        <f aca="false">E66+F56</f>
        <v>101.508767376617</v>
      </c>
    </row>
    <row r="67" customFormat="false" ht="15" hidden="false" customHeight="false" outlineLevel="0" collapsed="false">
      <c r="A67" s="10" t="s">
        <v>560</v>
      </c>
      <c r="B67" s="49" t="str">
        <f aca="false">IF(B66&gt;Inputs!$B$72,"UNFUNDED: above limit",IF(B56&gt;0,"Raising","OK"))</f>
        <v>OK</v>
      </c>
      <c r="C67" s="49" t="str">
        <f aca="false">IF(C66&gt;Inputs!$B$72,"UNFUNDED: above limit",IF(C56&gt;0,"Raising","OK"))</f>
        <v>Raising</v>
      </c>
      <c r="D67" s="49" t="str">
        <f aca="false">IF(D66&gt;Inputs!$B$72,"UNFUNDED: above limit",IF(D56&gt;0,"Raising","OK"))</f>
        <v>Raising</v>
      </c>
      <c r="E67" s="49" t="str">
        <f aca="false">IF(E66&gt;Inputs!$B$72,"UNFUNDED: above limit",IF(E56&gt;0,"Raising","OK"))</f>
        <v>Raising</v>
      </c>
      <c r="F67" s="49" t="str">
        <f aca="false">IF(F66&gt;Inputs!$B$72,"UNFUNDED: above limit",IF(F56&gt;0,"Raising","OK"))</f>
        <v>OK</v>
      </c>
    </row>
    <row r="68" customFormat="false" ht="15" hidden="false" customHeight="false" outlineLevel="0" collapsed="false">
      <c r="A68" s="10" t="s">
        <v>561</v>
      </c>
      <c r="B68" s="47" t="n">
        <f aca="false">$F$20</f>
        <v>76.6988166909882</v>
      </c>
    </row>
    <row r="69" customFormat="false" ht="15" hidden="false" customHeight="false" outlineLevel="0" collapsed="false">
      <c r="A69" s="10" t="s">
        <v>562</v>
      </c>
      <c r="B69" s="19" t="n">
        <f aca="false">IF(Inputs!$B$8=1,Inputs!$B$79,IFERROR($F$44/$F$20,0))</f>
        <v>0.2416</v>
      </c>
    </row>
    <row r="70" customFormat="false" ht="15" hidden="false" customHeight="false" outlineLevel="0" collapsed="false">
      <c r="A70" s="10" t="s">
        <v>563</v>
      </c>
      <c r="B70" s="47" t="n">
        <f aca="false">$B$68*(1-$B$69)</f>
        <v>58.1683825784455</v>
      </c>
    </row>
    <row r="71" customFormat="false" ht="15" hidden="false" customHeight="false" outlineLevel="0" collapsed="false">
      <c r="A71" s="10" t="s">
        <v>564</v>
      </c>
      <c r="B71" s="50" t="n">
        <f aca="false">Inputs!$C$117</f>
        <v>35</v>
      </c>
    </row>
    <row r="72" customFormat="false" ht="15" hidden="false" customHeight="false" outlineLevel="0" collapsed="false">
      <c r="A72" s="10" t="s">
        <v>565</v>
      </c>
      <c r="B72" s="47" t="n">
        <f aca="false">$B$70*$B$71*$F$527</f>
        <v>1341.10603621185</v>
      </c>
    </row>
    <row r="73" customFormat="false" ht="15" hidden="false" customHeight="false" outlineLevel="0" collapsed="false">
      <c r="A73" s="10" t="s">
        <v>566</v>
      </c>
      <c r="B73" s="47" t="n">
        <f aca="false">SUMPRODUCT($C$49:$F$49,$C$527:$F$527)</f>
        <v>-128.209026141234</v>
      </c>
    </row>
    <row r="74" customFormat="false" ht="15" hidden="false" customHeight="false" outlineLevel="0" collapsed="false">
      <c r="A74" s="10" t="s">
        <v>567</v>
      </c>
      <c r="B74" s="18" t="n">
        <f aca="false">$B$72+$B$73</f>
        <v>1212.89701007061</v>
      </c>
    </row>
    <row r="75" customFormat="false" ht="15" hidden="false" customHeight="false" outlineLevel="0" collapsed="false">
      <c r="A75" s="10" t="s">
        <v>568</v>
      </c>
      <c r="B75" s="47" t="n">
        <f aca="false">$B$70+$F$19-$F$25-$F$48</f>
        <v>30.3106950103572</v>
      </c>
    </row>
    <row r="76" customFormat="false" ht="15" hidden="false" customHeight="false" outlineLevel="0" collapsed="false">
      <c r="A76" s="10" t="s">
        <v>569</v>
      </c>
      <c r="B76" s="50" t="n">
        <f aca="false">Inputs!$C$118</f>
        <v>30</v>
      </c>
    </row>
    <row r="77" customFormat="false" ht="15" hidden="false" customHeight="false" outlineLevel="0" collapsed="false">
      <c r="A77" s="10" t="s">
        <v>570</v>
      </c>
      <c r="B77" s="47" t="n">
        <f aca="false">$B$75*$B$76*$F$527</f>
        <v>598.997809535538</v>
      </c>
    </row>
    <row r="78" customFormat="false" ht="15" hidden="false" customHeight="false" outlineLevel="0" collapsed="false">
      <c r="A78" s="10" t="s">
        <v>571</v>
      </c>
      <c r="B78" s="18" t="n">
        <f aca="false">$B$73+$B$77</f>
        <v>470.788783394304</v>
      </c>
    </row>
    <row r="79" customFormat="false" ht="15" hidden="false" customHeight="false" outlineLevel="0" collapsed="false">
      <c r="A79" s="13" t="s">
        <v>572</v>
      </c>
      <c r="B79" s="18" t="n">
        <f aca="false">$B$74*Inputs!$B$7+$B$78*(1-Inputs!$B$7)</f>
        <v>841.842896732458</v>
      </c>
    </row>
    <row r="80" customFormat="false" ht="15" hidden="false" customHeight="false" outlineLevel="0" collapsed="false">
      <c r="A80" s="10" t="s">
        <v>573</v>
      </c>
      <c r="B80" s="47" t="n">
        <f aca="false">MAX(0,$F$30)</f>
        <v>57.1984353933265</v>
      </c>
      <c r="H80" s="51" t="n">
        <v>1</v>
      </c>
      <c r="I80" s="51" t="n">
        <v>2</v>
      </c>
      <c r="J80" s="51" t="n">
        <v>3</v>
      </c>
      <c r="K80" s="51" t="n">
        <v>4</v>
      </c>
      <c r="L80" s="51" t="n">
        <v>5</v>
      </c>
      <c r="M80" s="51" t="n">
        <v>6</v>
      </c>
      <c r="N80" s="51" t="n">
        <v>7</v>
      </c>
      <c r="O80" s="51" t="n">
        <v>8</v>
      </c>
      <c r="P80" s="51" t="n">
        <v>9</v>
      </c>
      <c r="Q80" s="51" t="n">
        <v>10</v>
      </c>
      <c r="R80" s="51" t="n">
        <v>11</v>
      </c>
      <c r="S80" s="51" t="n">
        <v>12</v>
      </c>
      <c r="T80" s="51" t="n">
        <v>13</v>
      </c>
      <c r="U80" s="51" t="n">
        <v>14</v>
      </c>
      <c r="V80" s="51" t="n">
        <v>15</v>
      </c>
      <c r="W80" s="51" t="n">
        <v>16</v>
      </c>
      <c r="X80" s="51" t="n">
        <v>17</v>
      </c>
      <c r="Y80" s="51" t="n">
        <v>18</v>
      </c>
      <c r="Z80" s="51" t="n">
        <v>19</v>
      </c>
      <c r="AA80" s="51" t="n">
        <v>20</v>
      </c>
      <c r="AB80" s="51" t="n">
        <v>21</v>
      </c>
      <c r="AC80" s="51" t="n">
        <v>22</v>
      </c>
      <c r="AD80" s="51" t="n">
        <v>23</v>
      </c>
      <c r="AE80" s="51" t="n">
        <v>24</v>
      </c>
      <c r="AF80" s="51" t="n">
        <v>25</v>
      </c>
      <c r="AG80" s="51" t="n">
        <v>26</v>
      </c>
      <c r="AH80" s="51" t="n">
        <v>27</v>
      </c>
      <c r="AI80" s="51" t="n">
        <v>28</v>
      </c>
      <c r="AJ80" s="51" t="n">
        <v>29</v>
      </c>
      <c r="AK80" s="51" t="n">
        <v>30</v>
      </c>
    </row>
    <row r="81" customFormat="false" ht="15" hidden="false" customHeight="false" outlineLevel="0" collapsed="false">
      <c r="A81" s="10" t="s">
        <v>574</v>
      </c>
      <c r="H81" s="25" t="n">
        <f aca="false">1/(1+Inputs!$B$6)^1</f>
        <v>0.900900900900901</v>
      </c>
      <c r="I81" s="25" t="n">
        <f aca="false">1/(1+Inputs!$B$6)^2</f>
        <v>0.811622433244055</v>
      </c>
      <c r="J81" s="25" t="n">
        <f aca="false">1/(1+Inputs!$B$6)^3</f>
        <v>0.73119138130095</v>
      </c>
      <c r="K81" s="25" t="n">
        <f aca="false">1/(1+Inputs!$B$6)^4</f>
        <v>0.658730974145</v>
      </c>
      <c r="L81" s="25" t="n">
        <f aca="false">1/(1+Inputs!$B$6)^5</f>
        <v>0.593451328058559</v>
      </c>
      <c r="M81" s="25" t="n">
        <f aca="false">1/(1+Inputs!$B$6)^6</f>
        <v>0.534640836088791</v>
      </c>
      <c r="N81" s="25" t="n">
        <f aca="false">1/(1+Inputs!$B$6)^7</f>
        <v>0.481658410890803</v>
      </c>
      <c r="O81" s="25" t="n">
        <f aca="false">1/(1+Inputs!$B$6)^8</f>
        <v>0.433926496298021</v>
      </c>
      <c r="P81" s="25" t="n">
        <f aca="false">1/(1+Inputs!$B$6)^9</f>
        <v>0.390924771439658</v>
      </c>
      <c r="Q81" s="25" t="n">
        <f aca="false">1/(1+Inputs!$B$6)^10</f>
        <v>0.352184478774467</v>
      </c>
      <c r="R81" s="25" t="n">
        <f aca="false">1/(1+Inputs!$B$6)^11</f>
        <v>0.317283314211231</v>
      </c>
      <c r="S81" s="25" t="n">
        <f aca="false">1/(1+Inputs!$B$6)^12</f>
        <v>0.285840823613722</v>
      </c>
      <c r="T81" s="25" t="n">
        <f aca="false">1/(1+Inputs!$B$6)^13</f>
        <v>0.257514255507858</v>
      </c>
      <c r="U81" s="25" t="n">
        <f aca="false">1/(1+Inputs!$B$6)^14</f>
        <v>0.231994824781854</v>
      </c>
      <c r="V81" s="25" t="n">
        <f aca="false">1/(1+Inputs!$B$6)^15</f>
        <v>0.209004346650319</v>
      </c>
      <c r="W81" s="25" t="n">
        <f aca="false">1/(1+Inputs!$B$6)^16</f>
        <v>0.188292204189476</v>
      </c>
      <c r="X81" s="25" t="n">
        <f aca="false">1/(1+Inputs!$B$6)^17</f>
        <v>0.169632616386915</v>
      </c>
      <c r="Y81" s="25" t="n">
        <f aca="false">1/(1+Inputs!$B$6)^18</f>
        <v>0.152822176925149</v>
      </c>
      <c r="Z81" s="25" t="n">
        <f aca="false">1/(1+Inputs!$B$6)^19</f>
        <v>0.137677636869504</v>
      </c>
      <c r="AA81" s="25" t="n">
        <f aca="false">1/(1+Inputs!$B$6)^20</f>
        <v>0.124033907089643</v>
      </c>
      <c r="AB81" s="25" t="n">
        <f aca="false">1/(1+Inputs!$B$6)^21</f>
        <v>0.111742258639318</v>
      </c>
      <c r="AC81" s="25" t="n">
        <f aca="false">1/(1+Inputs!$B$6)^22</f>
        <v>0.100668701476863</v>
      </c>
      <c r="AD81" s="25" t="n">
        <f aca="false">1/(1+Inputs!$B$6)^23</f>
        <v>0.0906925238530297</v>
      </c>
      <c r="AE81" s="25" t="n">
        <f aca="false">1/(1+Inputs!$B$6)^24</f>
        <v>0.0817049764441709</v>
      </c>
      <c r="AF81" s="25" t="n">
        <f aca="false">1/(1+Inputs!$B$6)^25</f>
        <v>0.0736080868866405</v>
      </c>
      <c r="AG81" s="25" t="n">
        <f aca="false">1/(1+Inputs!$B$6)^26</f>
        <v>0.0663135917897662</v>
      </c>
      <c r="AH81" s="25" t="n">
        <f aca="false">1/(1+Inputs!$B$6)^27</f>
        <v>0.0597419745853749</v>
      </c>
      <c r="AI81" s="25" t="n">
        <f aca="false">1/(1+Inputs!$B$6)^28</f>
        <v>0.053821598725563</v>
      </c>
      <c r="AJ81" s="25" t="n">
        <f aca="false">1/(1+Inputs!$B$6)^29</f>
        <v>0.0484879267797865</v>
      </c>
      <c r="AK81" s="25" t="n">
        <f aca="false">1/(1+Inputs!$B$6)^30</f>
        <v>0.0436828169187266</v>
      </c>
    </row>
    <row r="82" customFormat="false" ht="15" hidden="false" customHeight="false" outlineLevel="0" collapsed="false">
      <c r="A82" s="10" t="s">
        <v>575</v>
      </c>
      <c r="G82" s="47" t="n">
        <f aca="false">$F$33</f>
        <v>0</v>
      </c>
      <c r="H82" s="47" t="n">
        <f aca="false">G82</f>
        <v>0</v>
      </c>
      <c r="I82" s="47" t="n">
        <f aca="false">H82-H83</f>
        <v>0</v>
      </c>
      <c r="J82" s="47" t="n">
        <f aca="false">I82-I83</f>
        <v>0</v>
      </c>
      <c r="K82" s="47" t="n">
        <f aca="false">J82-J83</f>
        <v>0</v>
      </c>
      <c r="L82" s="47" t="n">
        <f aca="false">K82-K83</f>
        <v>0</v>
      </c>
      <c r="M82" s="47" t="n">
        <f aca="false">L82-L83</f>
        <v>0</v>
      </c>
      <c r="N82" s="47" t="n">
        <f aca="false">M82-M83</f>
        <v>0</v>
      </c>
      <c r="O82" s="47" t="n">
        <f aca="false">N82-N83</f>
        <v>0</v>
      </c>
      <c r="P82" s="47" t="n">
        <f aca="false">O82-O83</f>
        <v>0</v>
      </c>
      <c r="Q82" s="47" t="n">
        <f aca="false">P82-P83</f>
        <v>0</v>
      </c>
      <c r="R82" s="47" t="n">
        <f aca="false">Q82-Q83</f>
        <v>0</v>
      </c>
      <c r="S82" s="47" t="n">
        <f aca="false">R82-R83</f>
        <v>0</v>
      </c>
      <c r="T82" s="47" t="n">
        <f aca="false">S82-S83</f>
        <v>0</v>
      </c>
      <c r="U82" s="47" t="n">
        <f aca="false">T82-T83</f>
        <v>0</v>
      </c>
      <c r="V82" s="47" t="n">
        <f aca="false">U82-U83</f>
        <v>0</v>
      </c>
      <c r="W82" s="47" t="n">
        <f aca="false">V82-V83</f>
        <v>0</v>
      </c>
      <c r="X82" s="47" t="n">
        <f aca="false">W82-W83</f>
        <v>0</v>
      </c>
      <c r="Y82" s="47" t="n">
        <f aca="false">X82-X83</f>
        <v>0</v>
      </c>
      <c r="Z82" s="47" t="n">
        <f aca="false">Y82-Y83</f>
        <v>0</v>
      </c>
      <c r="AA82" s="47" t="n">
        <f aca="false">Z82-Z83</f>
        <v>0</v>
      </c>
      <c r="AB82" s="47" t="n">
        <f aca="false">AA82-AA83</f>
        <v>0</v>
      </c>
      <c r="AC82" s="47" t="n">
        <f aca="false">AB82-AB83</f>
        <v>0</v>
      </c>
      <c r="AD82" s="47" t="n">
        <f aca="false">AC82-AC83</f>
        <v>0</v>
      </c>
      <c r="AE82" s="47" t="n">
        <f aca="false">AD82-AD83</f>
        <v>0</v>
      </c>
      <c r="AF82" s="47" t="n">
        <f aca="false">AE82-AE83</f>
        <v>0</v>
      </c>
      <c r="AG82" s="47" t="n">
        <f aca="false">AF82-AF83</f>
        <v>0</v>
      </c>
      <c r="AH82" s="47" t="n">
        <f aca="false">AG82-AG83</f>
        <v>0</v>
      </c>
      <c r="AI82" s="47" t="n">
        <f aca="false">AH82-AH83</f>
        <v>0</v>
      </c>
      <c r="AJ82" s="47" t="n">
        <f aca="false">AI82-AI83</f>
        <v>0</v>
      </c>
      <c r="AK82" s="47" t="n">
        <f aca="false">AJ82-AJ83</f>
        <v>0</v>
      </c>
    </row>
    <row r="83" customFormat="false" ht="15" hidden="false" customHeight="false" outlineLevel="0" collapsed="false">
      <c r="A83" s="10" t="s">
        <v>576</v>
      </c>
      <c r="H83" s="47" t="n">
        <f aca="false">IF(1&lt;=Inputs!$B$44,MIN(H82,$B$80,Inputs!$B$36),0)</f>
        <v>0</v>
      </c>
      <c r="I83" s="47" t="n">
        <f aca="false">IF(2&lt;=Inputs!$B$44,MIN(I82,$B$80,Inputs!$B$36),0)</f>
        <v>0</v>
      </c>
      <c r="J83" s="47" t="n">
        <f aca="false">IF(3&lt;=Inputs!$B$44,MIN(J82,$B$80,Inputs!$B$36),0)</f>
        <v>0</v>
      </c>
      <c r="K83" s="47" t="n">
        <f aca="false">IF(4&lt;=Inputs!$B$44,MIN(K82,$B$80,Inputs!$B$36),0)</f>
        <v>0</v>
      </c>
      <c r="L83" s="47" t="n">
        <f aca="false">IF(5&lt;=Inputs!$B$44,MIN(L82,$B$80,Inputs!$B$36),0)</f>
        <v>0</v>
      </c>
      <c r="M83" s="47" t="n">
        <f aca="false">IF(6&lt;=Inputs!$B$44,MIN(M82,$B$80,Inputs!$B$36),0)</f>
        <v>0</v>
      </c>
      <c r="N83" s="47" t="n">
        <f aca="false">IF(7&lt;=Inputs!$B$44,MIN(N82,$B$80,Inputs!$B$36),0)</f>
        <v>0</v>
      </c>
      <c r="O83" s="47" t="n">
        <f aca="false">IF(8&lt;=Inputs!$B$44,MIN(O82,$B$80,Inputs!$B$36),0)</f>
        <v>0</v>
      </c>
      <c r="P83" s="47" t="n">
        <f aca="false">IF(9&lt;=Inputs!$B$44,MIN(P82,$B$80,Inputs!$B$36),0)</f>
        <v>0</v>
      </c>
      <c r="Q83" s="47" t="n">
        <f aca="false">IF(10&lt;=Inputs!$B$44,MIN(Q82,$B$80,Inputs!$B$36),0)</f>
        <v>0</v>
      </c>
      <c r="R83" s="47" t="n">
        <f aca="false">IF(11&lt;=Inputs!$B$44,MIN(R82,$B$80,Inputs!$B$36),0)</f>
        <v>0</v>
      </c>
      <c r="S83" s="47" t="n">
        <f aca="false">IF(12&lt;=Inputs!$B$44,MIN(S82,$B$80,Inputs!$B$36),0)</f>
        <v>0</v>
      </c>
      <c r="T83" s="47" t="n">
        <f aca="false">IF(13&lt;=Inputs!$B$44,MIN(T82,$B$80,Inputs!$B$36),0)</f>
        <v>0</v>
      </c>
      <c r="U83" s="47" t="n">
        <f aca="false">IF(14&lt;=Inputs!$B$44,MIN(U82,$B$80,Inputs!$B$36),0)</f>
        <v>0</v>
      </c>
      <c r="V83" s="47" t="n">
        <f aca="false">IF(15&lt;=Inputs!$B$44,MIN(V82,$B$80,Inputs!$B$36),0)</f>
        <v>0</v>
      </c>
      <c r="W83" s="47" t="n">
        <f aca="false">IF(16&lt;=Inputs!$B$44,MIN(W82,$B$80,Inputs!$B$36),0)</f>
        <v>0</v>
      </c>
      <c r="X83" s="47" t="n">
        <f aca="false">IF(17&lt;=Inputs!$B$44,MIN(X82,$B$80,Inputs!$B$36),0)</f>
        <v>0</v>
      </c>
      <c r="Y83" s="47" t="n">
        <f aca="false">IF(18&lt;=Inputs!$B$44,MIN(Y82,$B$80,Inputs!$B$36),0)</f>
        <v>0</v>
      </c>
      <c r="Z83" s="47" t="n">
        <f aca="false">IF(19&lt;=Inputs!$B$44,MIN(Z82,$B$80,Inputs!$B$36),0)</f>
        <v>0</v>
      </c>
      <c r="AA83" s="47" t="n">
        <f aca="false">IF(20&lt;=Inputs!$B$44,MIN(AA82,$B$80,Inputs!$B$36),0)</f>
        <v>0</v>
      </c>
      <c r="AB83" s="47" t="n">
        <f aca="false">IF(21&lt;=Inputs!$B$44,MIN(AB82,$B$80,Inputs!$B$36),0)</f>
        <v>0</v>
      </c>
      <c r="AC83" s="47" t="n">
        <f aca="false">IF(22&lt;=Inputs!$B$44,MIN(AC82,$B$80,Inputs!$B$36),0)</f>
        <v>0</v>
      </c>
      <c r="AD83" s="47" t="n">
        <f aca="false">IF(23&lt;=Inputs!$B$44,MIN(AD82,$B$80,Inputs!$B$36),0)</f>
        <v>0</v>
      </c>
      <c r="AE83" s="47" t="n">
        <f aca="false">IF(24&lt;=Inputs!$B$44,MIN(AE82,$B$80,Inputs!$B$36),0)</f>
        <v>0</v>
      </c>
      <c r="AF83" s="47" t="n">
        <f aca="false">IF(25&lt;=Inputs!$B$44,MIN(AF82,$B$80,Inputs!$B$36),0)</f>
        <v>0</v>
      </c>
      <c r="AG83" s="47" t="n">
        <f aca="false">IF(26&lt;=Inputs!$B$44,MIN(AG82,$B$80,Inputs!$B$36),0)</f>
        <v>0</v>
      </c>
      <c r="AH83" s="47" t="n">
        <f aca="false">IF(27&lt;=Inputs!$B$44,MIN(AH82,$B$80,Inputs!$B$36),0)</f>
        <v>0</v>
      </c>
      <c r="AI83" s="47" t="n">
        <f aca="false">IF(28&lt;=Inputs!$B$44,MIN(AI82,$B$80,Inputs!$B$36),0)</f>
        <v>0</v>
      </c>
      <c r="AJ83" s="47" t="n">
        <f aca="false">IF(29&lt;=Inputs!$B$44,MIN(AJ82,$B$80,Inputs!$B$36),0)</f>
        <v>0</v>
      </c>
      <c r="AK83" s="47" t="n">
        <f aca="false">IF(30&lt;=Inputs!$B$44,MIN(AK82,$B$80,Inputs!$B$36),0)</f>
        <v>0</v>
      </c>
    </row>
    <row r="84" customFormat="false" ht="15" hidden="false" customHeight="false" outlineLevel="0" collapsed="false">
      <c r="A84" s="10" t="s">
        <v>577</v>
      </c>
      <c r="G84" s="47" t="n">
        <f aca="false">$F$34</f>
        <v>82.5489372152096</v>
      </c>
      <c r="H84" s="47" t="n">
        <f aca="false">G84</f>
        <v>82.5489372152096</v>
      </c>
      <c r="I84" s="47" t="n">
        <f aca="false">H84-H85</f>
        <v>25.3505018218831</v>
      </c>
      <c r="J84" s="47" t="n">
        <f aca="false">I84-I85</f>
        <v>0</v>
      </c>
      <c r="K84" s="47" t="n">
        <f aca="false">J84-J85</f>
        <v>0</v>
      </c>
      <c r="L84" s="47" t="n">
        <f aca="false">K84-K85</f>
        <v>0</v>
      </c>
      <c r="M84" s="47" t="n">
        <f aca="false">L84-L85</f>
        <v>0</v>
      </c>
      <c r="N84" s="47" t="n">
        <f aca="false">M84-M85</f>
        <v>0</v>
      </c>
      <c r="O84" s="47" t="n">
        <f aca="false">N84-N85</f>
        <v>0</v>
      </c>
      <c r="P84" s="47" t="n">
        <f aca="false">O84-O85</f>
        <v>0</v>
      </c>
      <c r="Q84" s="47" t="n">
        <f aca="false">P84-P85</f>
        <v>0</v>
      </c>
      <c r="R84" s="47" t="n">
        <f aca="false">Q84-Q85</f>
        <v>0</v>
      </c>
      <c r="S84" s="47" t="n">
        <f aca="false">R84-R85</f>
        <v>0</v>
      </c>
      <c r="T84" s="47" t="n">
        <f aca="false">S84-S85</f>
        <v>0</v>
      </c>
      <c r="U84" s="47" t="n">
        <f aca="false">T84-T85</f>
        <v>0</v>
      </c>
      <c r="V84" s="47" t="n">
        <f aca="false">U84-U85</f>
        <v>0</v>
      </c>
      <c r="W84" s="47" t="n">
        <f aca="false">V84-V85</f>
        <v>0</v>
      </c>
      <c r="X84" s="47" t="n">
        <f aca="false">W84-W85</f>
        <v>0</v>
      </c>
      <c r="Y84" s="47" t="n">
        <f aca="false">X84-X85</f>
        <v>0</v>
      </c>
      <c r="Z84" s="47" t="n">
        <f aca="false">Y84-Y85</f>
        <v>0</v>
      </c>
      <c r="AA84" s="47" t="n">
        <f aca="false">Z84-Z85</f>
        <v>0</v>
      </c>
      <c r="AB84" s="47" t="n">
        <f aca="false">AA84-AA85</f>
        <v>0</v>
      </c>
      <c r="AC84" s="47" t="n">
        <f aca="false">AB84-AB85</f>
        <v>0</v>
      </c>
      <c r="AD84" s="47" t="n">
        <f aca="false">AC84-AC85</f>
        <v>0</v>
      </c>
      <c r="AE84" s="47" t="n">
        <f aca="false">AD84-AD85</f>
        <v>0</v>
      </c>
      <c r="AF84" s="47" t="n">
        <f aca="false">AE84-AE85</f>
        <v>0</v>
      </c>
      <c r="AG84" s="47" t="n">
        <f aca="false">AF84-AF85</f>
        <v>0</v>
      </c>
      <c r="AH84" s="47" t="n">
        <f aca="false">AG84-AG85</f>
        <v>0</v>
      </c>
      <c r="AI84" s="47" t="n">
        <f aca="false">AH84-AH85</f>
        <v>0</v>
      </c>
      <c r="AJ84" s="47" t="n">
        <f aca="false">AI84-AI85</f>
        <v>0</v>
      </c>
      <c r="AK84" s="47" t="n">
        <f aca="false">AJ84-AJ85</f>
        <v>0</v>
      </c>
    </row>
    <row r="85" customFormat="false" ht="15" hidden="false" customHeight="false" outlineLevel="0" collapsed="false">
      <c r="A85" s="10" t="s">
        <v>576</v>
      </c>
      <c r="H85" s="47" t="n">
        <f aca="false">IF(1&lt;=Inputs!$B$44,MIN(H84,$B$80-H83),0)</f>
        <v>57.1984353933265</v>
      </c>
      <c r="I85" s="47" t="n">
        <f aca="false">IF(2&lt;=Inputs!$B$44,MIN(I84,$B$80-I83),0)</f>
        <v>25.3505018218831</v>
      </c>
      <c r="J85" s="47" t="n">
        <f aca="false">IF(3&lt;=Inputs!$B$44,MIN(J84,$B$80-J83),0)</f>
        <v>0</v>
      </c>
      <c r="K85" s="47" t="n">
        <f aca="false">IF(4&lt;=Inputs!$B$44,MIN(K84,$B$80-K83),0)</f>
        <v>0</v>
      </c>
      <c r="L85" s="47" t="n">
        <f aca="false">IF(5&lt;=Inputs!$B$44,MIN(L84,$B$80-L83),0)</f>
        <v>0</v>
      </c>
      <c r="M85" s="47" t="n">
        <f aca="false">IF(6&lt;=Inputs!$B$44,MIN(M84,$B$80-M83),0)</f>
        <v>0</v>
      </c>
      <c r="N85" s="47" t="n">
        <f aca="false">IF(7&lt;=Inputs!$B$44,MIN(N84,$B$80-N83),0)</f>
        <v>0</v>
      </c>
      <c r="O85" s="47" t="n">
        <f aca="false">IF(8&lt;=Inputs!$B$44,MIN(O84,$B$80-O83),0)</f>
        <v>0</v>
      </c>
      <c r="P85" s="47" t="n">
        <f aca="false">IF(9&lt;=Inputs!$B$44,MIN(P84,$B$80-P83),0)</f>
        <v>0</v>
      </c>
      <c r="Q85" s="47" t="n">
        <f aca="false">IF(10&lt;=Inputs!$B$44,MIN(Q84,$B$80-Q83),0)</f>
        <v>0</v>
      </c>
      <c r="R85" s="47" t="n">
        <f aca="false">IF(11&lt;=Inputs!$B$44,MIN(R84,$B$80-R83),0)</f>
        <v>0</v>
      </c>
      <c r="S85" s="47" t="n">
        <f aca="false">IF(12&lt;=Inputs!$B$44,MIN(S84,$B$80-S83),0)</f>
        <v>0</v>
      </c>
      <c r="T85" s="47" t="n">
        <f aca="false">IF(13&lt;=Inputs!$B$44,MIN(T84,$B$80-T83),0)</f>
        <v>0</v>
      </c>
      <c r="U85" s="47" t="n">
        <f aca="false">IF(14&lt;=Inputs!$B$44,MIN(U84,$B$80-U83),0)</f>
        <v>0</v>
      </c>
      <c r="V85" s="47" t="n">
        <f aca="false">IF(15&lt;=Inputs!$B$44,MIN(V84,$B$80-V83),0)</f>
        <v>0</v>
      </c>
      <c r="W85" s="47" t="n">
        <f aca="false">IF(16&lt;=Inputs!$B$44,MIN(W84,$B$80-W83),0)</f>
        <v>0</v>
      </c>
      <c r="X85" s="47" t="n">
        <f aca="false">IF(17&lt;=Inputs!$B$44,MIN(X84,$B$80-X83),0)</f>
        <v>0</v>
      </c>
      <c r="Y85" s="47" t="n">
        <f aca="false">IF(18&lt;=Inputs!$B$44,MIN(Y84,$B$80-Y83),0)</f>
        <v>0</v>
      </c>
      <c r="Z85" s="47" t="n">
        <f aca="false">IF(19&lt;=Inputs!$B$44,MIN(Z84,$B$80-Z83),0)</f>
        <v>0</v>
      </c>
      <c r="AA85" s="47" t="n">
        <f aca="false">IF(20&lt;=Inputs!$B$44,MIN(AA84,$B$80-AA83),0)</f>
        <v>0</v>
      </c>
      <c r="AB85" s="47" t="n">
        <f aca="false">IF(21&lt;=Inputs!$B$44,MIN(AB84,$B$80-AB83),0)</f>
        <v>0</v>
      </c>
      <c r="AC85" s="47" t="n">
        <f aca="false">IF(22&lt;=Inputs!$B$44,MIN(AC84,$B$80-AC83),0)</f>
        <v>0</v>
      </c>
      <c r="AD85" s="47" t="n">
        <f aca="false">IF(23&lt;=Inputs!$B$44,MIN(AD84,$B$80-AD83),0)</f>
        <v>0</v>
      </c>
      <c r="AE85" s="47" t="n">
        <f aca="false">IF(24&lt;=Inputs!$B$44,MIN(AE84,$B$80-AE83),0)</f>
        <v>0</v>
      </c>
      <c r="AF85" s="47" t="n">
        <f aca="false">IF(25&lt;=Inputs!$B$44,MIN(AF84,$B$80-AF83),0)</f>
        <v>0</v>
      </c>
      <c r="AG85" s="47" t="n">
        <f aca="false">IF(26&lt;=Inputs!$B$44,MIN(AG84,$B$80-AG83),0)</f>
        <v>0</v>
      </c>
      <c r="AH85" s="47" t="n">
        <f aca="false">IF(27&lt;=Inputs!$B$44,MIN(AH84,$B$80-AH83),0)</f>
        <v>0</v>
      </c>
      <c r="AI85" s="47" t="n">
        <f aca="false">IF(28&lt;=Inputs!$B$44,MIN(AI84,$B$80-AI83),0)</f>
        <v>0</v>
      </c>
      <c r="AJ85" s="47" t="n">
        <f aca="false">IF(29&lt;=Inputs!$B$44,MIN(AJ84,$B$80-AJ83),0)</f>
        <v>0</v>
      </c>
      <c r="AK85" s="47" t="n">
        <f aca="false">IF(30&lt;=Inputs!$B$44,MIN(AK84,$B$80-AK83),0)</f>
        <v>0</v>
      </c>
    </row>
    <row r="86" customFormat="false" ht="15" hidden="false" customHeight="false" outlineLevel="0" collapsed="false">
      <c r="A86" s="10" t="s">
        <v>578</v>
      </c>
      <c r="H86" s="47" t="n">
        <f aca="false">($B$80-H83-H85)*Inputs!$B$34</f>
        <v>0</v>
      </c>
      <c r="I86" s="47" t="n">
        <f aca="false">($B$80-I83-I85)*Inputs!$B$34</f>
        <v>1.27391734285774</v>
      </c>
      <c r="J86" s="47" t="n">
        <f aca="false">($B$80-J83-J85)*Inputs!$B$34</f>
        <v>2.28793741573306</v>
      </c>
      <c r="K86" s="47" t="n">
        <f aca="false">($B$80-K83-K85)*Inputs!$B$34</f>
        <v>2.28793741573306</v>
      </c>
      <c r="L86" s="47" t="n">
        <f aca="false">($B$80-L83-L85)*Inputs!$B$34</f>
        <v>2.28793741573306</v>
      </c>
      <c r="M86" s="47" t="n">
        <f aca="false">($B$80-M83-M85)*Inputs!$B$34</f>
        <v>2.28793741573306</v>
      </c>
      <c r="N86" s="47" t="n">
        <f aca="false">($B$80-N83-N85)*Inputs!$B$34</f>
        <v>2.28793741573306</v>
      </c>
      <c r="O86" s="47" t="n">
        <f aca="false">($B$80-O83-O85)*Inputs!$B$34</f>
        <v>2.28793741573306</v>
      </c>
      <c r="P86" s="47" t="n">
        <f aca="false">($B$80-P83-P85)*Inputs!$B$34</f>
        <v>2.28793741573306</v>
      </c>
      <c r="Q86" s="47" t="n">
        <f aca="false">($B$80-Q83-Q85)*Inputs!$B$34</f>
        <v>2.28793741573306</v>
      </c>
      <c r="R86" s="47" t="n">
        <f aca="false">($B$80-R83-R85)*Inputs!$B$34</f>
        <v>2.28793741573306</v>
      </c>
      <c r="S86" s="47" t="n">
        <f aca="false">($B$80-S83-S85)*Inputs!$B$34</f>
        <v>2.28793741573306</v>
      </c>
      <c r="T86" s="47" t="n">
        <f aca="false">($B$80-T83-T85)*Inputs!$B$34</f>
        <v>2.28793741573306</v>
      </c>
      <c r="U86" s="47" t="n">
        <f aca="false">($B$80-U83-U85)*Inputs!$B$34</f>
        <v>2.28793741573306</v>
      </c>
      <c r="V86" s="47" t="n">
        <f aca="false">($B$80-V83-V85)*Inputs!$B$34</f>
        <v>2.28793741573306</v>
      </c>
      <c r="W86" s="47" t="n">
        <f aca="false">($B$80-W83-W85)*Inputs!$B$34</f>
        <v>2.28793741573306</v>
      </c>
      <c r="X86" s="47" t="n">
        <f aca="false">($B$80-X83-X85)*Inputs!$B$34</f>
        <v>2.28793741573306</v>
      </c>
      <c r="Y86" s="47" t="n">
        <f aca="false">($B$80-Y83-Y85)*Inputs!$B$34</f>
        <v>2.28793741573306</v>
      </c>
      <c r="Z86" s="47" t="n">
        <f aca="false">($B$80-Z83-Z85)*Inputs!$B$34</f>
        <v>2.28793741573306</v>
      </c>
      <c r="AA86" s="47" t="n">
        <f aca="false">($B$80-AA83-AA85)*Inputs!$B$34</f>
        <v>2.28793741573306</v>
      </c>
      <c r="AB86" s="47" t="n">
        <f aca="false">($B$80-AB83-AB85)*Inputs!$B$34</f>
        <v>2.28793741573306</v>
      </c>
      <c r="AC86" s="47" t="n">
        <f aca="false">($B$80-AC83-AC85)*Inputs!$B$34</f>
        <v>2.28793741573306</v>
      </c>
      <c r="AD86" s="47" t="n">
        <f aca="false">($B$80-AD83-AD85)*Inputs!$B$34</f>
        <v>2.28793741573306</v>
      </c>
      <c r="AE86" s="47" t="n">
        <f aca="false">($B$80-AE83-AE85)*Inputs!$B$34</f>
        <v>2.28793741573306</v>
      </c>
      <c r="AF86" s="47" t="n">
        <f aca="false">($B$80-AF83-AF85)*Inputs!$B$34</f>
        <v>2.28793741573306</v>
      </c>
      <c r="AG86" s="47" t="n">
        <f aca="false">($B$80-AG83-AG85)*Inputs!$B$34</f>
        <v>2.28793741573306</v>
      </c>
      <c r="AH86" s="47" t="n">
        <f aca="false">($B$80-AH83-AH85)*Inputs!$B$34</f>
        <v>2.28793741573306</v>
      </c>
      <c r="AI86" s="47" t="n">
        <f aca="false">($B$80-AI83-AI85)*Inputs!$B$34</f>
        <v>2.28793741573306</v>
      </c>
      <c r="AJ86" s="47" t="n">
        <f aca="false">($B$80-AJ83-AJ85)*Inputs!$B$34</f>
        <v>2.28793741573306</v>
      </c>
      <c r="AK86" s="47" t="n">
        <f aca="false">($B$80-AK83-AK85)*Inputs!$B$34</f>
        <v>2.28793741573306</v>
      </c>
    </row>
    <row r="87" customFormat="false" ht="15" hidden="false" customHeight="false" outlineLevel="0" collapsed="false">
      <c r="A87" s="10" t="s">
        <v>579</v>
      </c>
      <c r="H87" s="47" t="n">
        <f aca="false">$B$80-H86</f>
        <v>57.1984353933265</v>
      </c>
      <c r="I87" s="47" t="n">
        <f aca="false">$B$80-I86</f>
        <v>55.9245180504687</v>
      </c>
      <c r="J87" s="47" t="n">
        <f aca="false">$B$80-J86</f>
        <v>54.9104979775934</v>
      </c>
      <c r="K87" s="47" t="n">
        <f aca="false">$B$80-K86</f>
        <v>54.9104979775934</v>
      </c>
      <c r="L87" s="47" t="n">
        <f aca="false">$B$80-L86</f>
        <v>54.9104979775934</v>
      </c>
      <c r="M87" s="47" t="n">
        <f aca="false">$B$80-M86</f>
        <v>54.9104979775934</v>
      </c>
      <c r="N87" s="47" t="n">
        <f aca="false">$B$80-N86</f>
        <v>54.9104979775934</v>
      </c>
      <c r="O87" s="47" t="n">
        <f aca="false">$B$80-O86</f>
        <v>54.9104979775934</v>
      </c>
      <c r="P87" s="47" t="n">
        <f aca="false">$B$80-P86</f>
        <v>54.9104979775934</v>
      </c>
      <c r="Q87" s="47" t="n">
        <f aca="false">$B$80-Q86</f>
        <v>54.9104979775934</v>
      </c>
      <c r="R87" s="47" t="n">
        <f aca="false">$B$80-R86</f>
        <v>54.9104979775934</v>
      </c>
      <c r="S87" s="47" t="n">
        <f aca="false">$B$80-S86</f>
        <v>54.9104979775934</v>
      </c>
      <c r="T87" s="47" t="n">
        <f aca="false">$B$80-T86</f>
        <v>54.9104979775934</v>
      </c>
      <c r="U87" s="47" t="n">
        <f aca="false">$B$80-U86</f>
        <v>54.9104979775934</v>
      </c>
      <c r="V87" s="47" t="n">
        <f aca="false">$B$80-V86</f>
        <v>54.9104979775934</v>
      </c>
      <c r="W87" s="47" t="n">
        <f aca="false">$B$80-W86</f>
        <v>54.9104979775934</v>
      </c>
      <c r="X87" s="47" t="n">
        <f aca="false">$B$80-X86</f>
        <v>54.9104979775934</v>
      </c>
      <c r="Y87" s="47" t="n">
        <f aca="false">$B$80-Y86</f>
        <v>54.9104979775934</v>
      </c>
      <c r="Z87" s="47" t="n">
        <f aca="false">$B$80-Z86</f>
        <v>54.9104979775934</v>
      </c>
      <c r="AA87" s="47" t="n">
        <f aca="false">$B$80-AA86</f>
        <v>54.9104979775934</v>
      </c>
      <c r="AB87" s="47" t="n">
        <f aca="false">$B$80-AB86</f>
        <v>54.9104979775934</v>
      </c>
      <c r="AC87" s="47" t="n">
        <f aca="false">$B$80-AC86</f>
        <v>54.9104979775934</v>
      </c>
      <c r="AD87" s="47" t="n">
        <f aca="false">$B$80-AD86</f>
        <v>54.9104979775934</v>
      </c>
      <c r="AE87" s="47" t="n">
        <f aca="false">$B$80-AE86</f>
        <v>54.9104979775934</v>
      </c>
      <c r="AF87" s="47" t="n">
        <f aca="false">$B$80-AF86</f>
        <v>54.9104979775934</v>
      </c>
      <c r="AG87" s="47" t="n">
        <f aca="false">$B$80-AG86</f>
        <v>54.9104979775934</v>
      </c>
      <c r="AH87" s="47" t="n">
        <f aca="false">$B$80-AH86</f>
        <v>54.9104979775934</v>
      </c>
      <c r="AI87" s="47" t="n">
        <f aca="false">$B$80-AI86</f>
        <v>54.9104979775934</v>
      </c>
      <c r="AJ87" s="47" t="n">
        <f aca="false">$B$80-AJ86</f>
        <v>54.9104979775934</v>
      </c>
      <c r="AK87" s="47" t="n">
        <f aca="false">$B$80-AK86</f>
        <v>54.9104979775934</v>
      </c>
    </row>
    <row r="88" customFormat="false" ht="15" hidden="false" customHeight="false" outlineLevel="0" collapsed="false">
      <c r="A88" s="10" t="s">
        <v>580</v>
      </c>
      <c r="G88" s="47" t="n">
        <f aca="false">$F$39</f>
        <v>9.91195168533881</v>
      </c>
      <c r="H88" s="47" t="n">
        <f aca="false">G88</f>
        <v>9.91195168533881</v>
      </c>
      <c r="I88" s="47" t="n">
        <f aca="false">H88-H89</f>
        <v>0</v>
      </c>
      <c r="J88" s="47" t="n">
        <f aca="false">I88-I89</f>
        <v>0</v>
      </c>
      <c r="K88" s="47" t="n">
        <f aca="false">J88-J89</f>
        <v>0</v>
      </c>
      <c r="L88" s="47" t="n">
        <f aca="false">K88-K89</f>
        <v>0</v>
      </c>
      <c r="M88" s="47" t="n">
        <f aca="false">L88-L89</f>
        <v>0</v>
      </c>
      <c r="N88" s="47" t="n">
        <f aca="false">M88-M89</f>
        <v>0</v>
      </c>
      <c r="O88" s="47" t="n">
        <f aca="false">N88-N89</f>
        <v>0</v>
      </c>
      <c r="P88" s="47" t="n">
        <f aca="false">O88-O89</f>
        <v>0</v>
      </c>
      <c r="Q88" s="47" t="n">
        <f aca="false">P88-P89</f>
        <v>0</v>
      </c>
      <c r="R88" s="47" t="n">
        <f aca="false">Q88-Q89</f>
        <v>0</v>
      </c>
      <c r="S88" s="47" t="n">
        <f aca="false">R88-R89</f>
        <v>0</v>
      </c>
      <c r="T88" s="47" t="n">
        <f aca="false">S88-S89</f>
        <v>0</v>
      </c>
      <c r="U88" s="47" t="n">
        <f aca="false">T88-T89</f>
        <v>0</v>
      </c>
      <c r="V88" s="47" t="n">
        <f aca="false">U88-U89</f>
        <v>0</v>
      </c>
      <c r="W88" s="47" t="n">
        <f aca="false">V88-V89</f>
        <v>0</v>
      </c>
      <c r="X88" s="47" t="n">
        <f aca="false">W88-W89</f>
        <v>0</v>
      </c>
      <c r="Y88" s="47" t="n">
        <f aca="false">X88-X89</f>
        <v>0</v>
      </c>
      <c r="Z88" s="47" t="n">
        <f aca="false">Y88-Y89</f>
        <v>0</v>
      </c>
      <c r="AA88" s="47" t="n">
        <f aca="false">Z88-Z89</f>
        <v>0</v>
      </c>
      <c r="AB88" s="47" t="n">
        <f aca="false">AA88-AA89</f>
        <v>0</v>
      </c>
      <c r="AC88" s="47" t="n">
        <f aca="false">AB88-AB89</f>
        <v>0</v>
      </c>
      <c r="AD88" s="47" t="n">
        <f aca="false">AC88-AC89</f>
        <v>0</v>
      </c>
      <c r="AE88" s="47" t="n">
        <f aca="false">AD88-AD89</f>
        <v>0</v>
      </c>
      <c r="AF88" s="47" t="n">
        <f aca="false">AE88-AE89</f>
        <v>0</v>
      </c>
      <c r="AG88" s="47" t="n">
        <f aca="false">AF88-AF89</f>
        <v>0</v>
      </c>
      <c r="AH88" s="47" t="n">
        <f aca="false">AG88-AG89</f>
        <v>0</v>
      </c>
      <c r="AI88" s="47" t="n">
        <f aca="false">AH88-AH89</f>
        <v>0</v>
      </c>
      <c r="AJ88" s="47" t="n">
        <f aca="false">AI88-AI89</f>
        <v>0</v>
      </c>
      <c r="AK88" s="47" t="n">
        <f aca="false">AJ88-AJ89</f>
        <v>0</v>
      </c>
    </row>
    <row r="89" customFormat="false" ht="15" hidden="false" customHeight="false" outlineLevel="0" collapsed="false">
      <c r="A89" s="10" t="s">
        <v>581</v>
      </c>
      <c r="H89" s="47" t="n">
        <f aca="false">MIN(H88,Inputs!$B$35*H87,Inputs!$B$36)</f>
        <v>9.91195168533881</v>
      </c>
      <c r="I89" s="47" t="n">
        <f aca="false">MIN(I88,Inputs!$B$35*I87,Inputs!$B$36)</f>
        <v>0</v>
      </c>
      <c r="J89" s="47" t="n">
        <f aca="false">MIN(J88,Inputs!$B$35*J87,Inputs!$B$36)</f>
        <v>0</v>
      </c>
      <c r="K89" s="47" t="n">
        <f aca="false">MIN(K88,Inputs!$B$35*K87,Inputs!$B$36)</f>
        <v>0</v>
      </c>
      <c r="L89" s="47" t="n">
        <f aca="false">MIN(L88,Inputs!$B$35*L87,Inputs!$B$36)</f>
        <v>0</v>
      </c>
      <c r="M89" s="47" t="n">
        <f aca="false">MIN(M88,Inputs!$B$35*M87,Inputs!$B$36)</f>
        <v>0</v>
      </c>
      <c r="N89" s="47" t="n">
        <f aca="false">MIN(N88,Inputs!$B$35*N87,Inputs!$B$36)</f>
        <v>0</v>
      </c>
      <c r="O89" s="47" t="n">
        <f aca="false">MIN(O88,Inputs!$B$35*O87,Inputs!$B$36)</f>
        <v>0</v>
      </c>
      <c r="P89" s="47" t="n">
        <f aca="false">MIN(P88,Inputs!$B$35*P87,Inputs!$B$36)</f>
        <v>0</v>
      </c>
      <c r="Q89" s="47" t="n">
        <f aca="false">MIN(Q88,Inputs!$B$35*Q87,Inputs!$B$36)</f>
        <v>0</v>
      </c>
      <c r="R89" s="47" t="n">
        <f aca="false">MIN(R88,Inputs!$B$35*R87,Inputs!$B$36)</f>
        <v>0</v>
      </c>
      <c r="S89" s="47" t="n">
        <f aca="false">MIN(S88,Inputs!$B$35*S87,Inputs!$B$36)</f>
        <v>0</v>
      </c>
      <c r="T89" s="47" t="n">
        <f aca="false">MIN(T88,Inputs!$B$35*T87,Inputs!$B$36)</f>
        <v>0</v>
      </c>
      <c r="U89" s="47" t="n">
        <f aca="false">MIN(U88,Inputs!$B$35*U87,Inputs!$B$36)</f>
        <v>0</v>
      </c>
      <c r="V89" s="47" t="n">
        <f aca="false">MIN(V88,Inputs!$B$35*V87,Inputs!$B$36)</f>
        <v>0</v>
      </c>
      <c r="W89" s="47" t="n">
        <f aca="false">MIN(W88,Inputs!$B$35*W87,Inputs!$B$36)</f>
        <v>0</v>
      </c>
      <c r="X89" s="47" t="n">
        <f aca="false">MIN(X88,Inputs!$B$35*X87,Inputs!$B$36)</f>
        <v>0</v>
      </c>
      <c r="Y89" s="47" t="n">
        <f aca="false">MIN(Y88,Inputs!$B$35*Y87,Inputs!$B$36)</f>
        <v>0</v>
      </c>
      <c r="Z89" s="47" t="n">
        <f aca="false">MIN(Z88,Inputs!$B$35*Z87,Inputs!$B$36)</f>
        <v>0</v>
      </c>
      <c r="AA89" s="47" t="n">
        <f aca="false">MIN(AA88,Inputs!$B$35*AA87,Inputs!$B$36)</f>
        <v>0</v>
      </c>
      <c r="AB89" s="47" t="n">
        <f aca="false">MIN(AB88,Inputs!$B$35*AB87,Inputs!$B$36)</f>
        <v>0</v>
      </c>
      <c r="AC89" s="47" t="n">
        <f aca="false">MIN(AC88,Inputs!$B$35*AC87,Inputs!$B$36)</f>
        <v>0</v>
      </c>
      <c r="AD89" s="47" t="n">
        <f aca="false">MIN(AD88,Inputs!$B$35*AD87,Inputs!$B$36)</f>
        <v>0</v>
      </c>
      <c r="AE89" s="47" t="n">
        <f aca="false">MIN(AE88,Inputs!$B$35*AE87,Inputs!$B$36)</f>
        <v>0</v>
      </c>
      <c r="AF89" s="47" t="n">
        <f aca="false">MIN(AF88,Inputs!$B$35*AF87,Inputs!$B$36)</f>
        <v>0</v>
      </c>
      <c r="AG89" s="47" t="n">
        <f aca="false">MIN(AG88,Inputs!$B$35*AG87,Inputs!$B$36)</f>
        <v>0</v>
      </c>
      <c r="AH89" s="47" t="n">
        <f aca="false">MIN(AH88,Inputs!$B$35*AH87,Inputs!$B$36)</f>
        <v>0</v>
      </c>
      <c r="AI89" s="47" t="n">
        <f aca="false">MIN(AI88,Inputs!$B$35*AI87,Inputs!$B$36)</f>
        <v>0</v>
      </c>
      <c r="AJ89" s="47" t="n">
        <f aca="false">MIN(AJ88,Inputs!$B$35*AJ87,Inputs!$B$36)</f>
        <v>0</v>
      </c>
      <c r="AK89" s="47" t="n">
        <f aca="false">MIN(AK88,Inputs!$B$35*AK87,Inputs!$B$36)</f>
        <v>0</v>
      </c>
    </row>
    <row r="90" customFormat="false" ht="15" hidden="false" customHeight="false" outlineLevel="0" collapsed="false">
      <c r="A90" s="10" t="s">
        <v>582</v>
      </c>
      <c r="G90" s="47" t="n">
        <f aca="false">$F$40</f>
        <v>88.570672608536</v>
      </c>
      <c r="H90" s="47" t="n">
        <f aca="false">G90</f>
        <v>88.570672608536</v>
      </c>
      <c r="I90" s="47" t="n">
        <f aca="false">H90-H91</f>
        <v>52.7238759792137</v>
      </c>
      <c r="J90" s="47" t="n">
        <f aca="false">I90-I91</f>
        <v>7.98426153883867</v>
      </c>
      <c r="K90" s="47" t="n">
        <f aca="false">J90-J91</f>
        <v>0</v>
      </c>
      <c r="L90" s="47" t="n">
        <f aca="false">K90-K91</f>
        <v>0</v>
      </c>
      <c r="M90" s="47" t="n">
        <f aca="false">L90-L91</f>
        <v>0</v>
      </c>
      <c r="N90" s="47" t="n">
        <f aca="false">M90-M91</f>
        <v>0</v>
      </c>
      <c r="O90" s="47" t="n">
        <f aca="false">N90-N91</f>
        <v>0</v>
      </c>
      <c r="P90" s="47" t="n">
        <f aca="false">O90-O91</f>
        <v>0</v>
      </c>
      <c r="Q90" s="47" t="n">
        <f aca="false">P90-P91</f>
        <v>0</v>
      </c>
      <c r="R90" s="47" t="n">
        <f aca="false">Q90-Q91</f>
        <v>0</v>
      </c>
      <c r="S90" s="47" t="n">
        <f aca="false">R90-R91</f>
        <v>0</v>
      </c>
      <c r="T90" s="47" t="n">
        <f aca="false">S90-S91</f>
        <v>0</v>
      </c>
      <c r="U90" s="47" t="n">
        <f aca="false">T90-T91</f>
        <v>0</v>
      </c>
      <c r="V90" s="47" t="n">
        <f aca="false">U90-U91</f>
        <v>0</v>
      </c>
      <c r="W90" s="47" t="n">
        <f aca="false">V90-V91</f>
        <v>0</v>
      </c>
      <c r="X90" s="47" t="n">
        <f aca="false">W90-W91</f>
        <v>0</v>
      </c>
      <c r="Y90" s="47" t="n">
        <f aca="false">X90-X91</f>
        <v>0</v>
      </c>
      <c r="Z90" s="47" t="n">
        <f aca="false">Y90-Y91</f>
        <v>0</v>
      </c>
      <c r="AA90" s="47" t="n">
        <f aca="false">Z90-Z91</f>
        <v>0</v>
      </c>
      <c r="AB90" s="47" t="n">
        <f aca="false">AA90-AA91</f>
        <v>0</v>
      </c>
      <c r="AC90" s="47" t="n">
        <f aca="false">AB90-AB91</f>
        <v>0</v>
      </c>
      <c r="AD90" s="47" t="n">
        <f aca="false">AC90-AC91</f>
        <v>0</v>
      </c>
      <c r="AE90" s="47" t="n">
        <f aca="false">AD90-AD91</f>
        <v>0</v>
      </c>
      <c r="AF90" s="47" t="n">
        <f aca="false">AE90-AE91</f>
        <v>0</v>
      </c>
      <c r="AG90" s="47" t="n">
        <f aca="false">AF90-AF91</f>
        <v>0</v>
      </c>
      <c r="AH90" s="47" t="n">
        <f aca="false">AG90-AG91</f>
        <v>0</v>
      </c>
      <c r="AI90" s="47" t="n">
        <f aca="false">AH90-AH91</f>
        <v>0</v>
      </c>
      <c r="AJ90" s="47" t="n">
        <f aca="false">AI90-AI91</f>
        <v>0</v>
      </c>
      <c r="AK90" s="47" t="n">
        <f aca="false">AJ90-AJ91</f>
        <v>0</v>
      </c>
    </row>
    <row r="91" customFormat="false" ht="15" hidden="false" customHeight="false" outlineLevel="0" collapsed="false">
      <c r="A91" s="10" t="s">
        <v>576</v>
      </c>
      <c r="H91" s="47" t="n">
        <f aca="false">MIN(H90,Inputs!$B$35*H87-H89)</f>
        <v>35.8467966293224</v>
      </c>
      <c r="I91" s="47" t="n">
        <f aca="false">MIN(I90,Inputs!$B$35*I87-I89)</f>
        <v>44.739614440375</v>
      </c>
      <c r="J91" s="47" t="n">
        <f aca="false">MIN(J90,Inputs!$B$35*J87-J89)</f>
        <v>7.98426153883867</v>
      </c>
      <c r="K91" s="47" t="n">
        <f aca="false">MIN(K90,Inputs!$B$35*K87-K89)</f>
        <v>0</v>
      </c>
      <c r="L91" s="47" t="n">
        <f aca="false">MIN(L90,Inputs!$B$35*L87-L89)</f>
        <v>0</v>
      </c>
      <c r="M91" s="47" t="n">
        <f aca="false">MIN(M90,Inputs!$B$35*M87-M89)</f>
        <v>0</v>
      </c>
      <c r="N91" s="47" t="n">
        <f aca="false">MIN(N90,Inputs!$B$35*N87-N89)</f>
        <v>0</v>
      </c>
      <c r="O91" s="47" t="n">
        <f aca="false">MIN(O90,Inputs!$B$35*O87-O89)</f>
        <v>0</v>
      </c>
      <c r="P91" s="47" t="n">
        <f aca="false">MIN(P90,Inputs!$B$35*P87-P89)</f>
        <v>0</v>
      </c>
      <c r="Q91" s="47" t="n">
        <f aca="false">MIN(Q90,Inputs!$B$35*Q87-Q89)</f>
        <v>0</v>
      </c>
      <c r="R91" s="47" t="n">
        <f aca="false">MIN(R90,Inputs!$B$35*R87-R89)</f>
        <v>0</v>
      </c>
      <c r="S91" s="47" t="n">
        <f aca="false">MIN(S90,Inputs!$B$35*S87-S89)</f>
        <v>0</v>
      </c>
      <c r="T91" s="47" t="n">
        <f aca="false">MIN(T90,Inputs!$B$35*T87-T89)</f>
        <v>0</v>
      </c>
      <c r="U91" s="47" t="n">
        <f aca="false">MIN(U90,Inputs!$B$35*U87-U89)</f>
        <v>0</v>
      </c>
      <c r="V91" s="47" t="n">
        <f aca="false">MIN(V90,Inputs!$B$35*V87-V89)</f>
        <v>0</v>
      </c>
      <c r="W91" s="47" t="n">
        <f aca="false">MIN(W90,Inputs!$B$35*W87-W89)</f>
        <v>0</v>
      </c>
      <c r="X91" s="47" t="n">
        <f aca="false">MIN(X90,Inputs!$B$35*X87-X89)</f>
        <v>0</v>
      </c>
      <c r="Y91" s="47" t="n">
        <f aca="false">MIN(Y90,Inputs!$B$35*Y87-Y89)</f>
        <v>0</v>
      </c>
      <c r="Z91" s="47" t="n">
        <f aca="false">MIN(Z90,Inputs!$B$35*Z87-Z89)</f>
        <v>0</v>
      </c>
      <c r="AA91" s="47" t="n">
        <f aca="false">MIN(AA90,Inputs!$B$35*AA87-AA89)</f>
        <v>0</v>
      </c>
      <c r="AB91" s="47" t="n">
        <f aca="false">MIN(AB90,Inputs!$B$35*AB87-AB89)</f>
        <v>0</v>
      </c>
      <c r="AC91" s="47" t="n">
        <f aca="false">MIN(AC90,Inputs!$B$35*AC87-AC89)</f>
        <v>0</v>
      </c>
      <c r="AD91" s="47" t="n">
        <f aca="false">MIN(AD90,Inputs!$B$35*AD87-AD89)</f>
        <v>0</v>
      </c>
      <c r="AE91" s="47" t="n">
        <f aca="false">MIN(AE90,Inputs!$B$35*AE87-AE89)</f>
        <v>0</v>
      </c>
      <c r="AF91" s="47" t="n">
        <f aca="false">MIN(AF90,Inputs!$B$35*AF87-AF89)</f>
        <v>0</v>
      </c>
      <c r="AG91" s="47" t="n">
        <f aca="false">MIN(AG90,Inputs!$B$35*AG87-AG89)</f>
        <v>0</v>
      </c>
      <c r="AH91" s="47" t="n">
        <f aca="false">MIN(AH90,Inputs!$B$35*AH87-AH89)</f>
        <v>0</v>
      </c>
      <c r="AI91" s="47" t="n">
        <f aca="false">MIN(AI90,Inputs!$B$35*AI87-AI89)</f>
        <v>0</v>
      </c>
      <c r="AJ91" s="47" t="n">
        <f aca="false">MIN(AJ90,Inputs!$B$35*AJ87-AJ89)</f>
        <v>0</v>
      </c>
      <c r="AK91" s="47" t="n">
        <f aca="false">MIN(AK90,Inputs!$B$35*AK87-AK89)</f>
        <v>0</v>
      </c>
    </row>
    <row r="92" customFormat="false" ht="15" hidden="false" customHeight="false" outlineLevel="0" collapsed="false">
      <c r="A92" s="10" t="s">
        <v>583</v>
      </c>
      <c r="H92" s="47" t="n">
        <f aca="false">(H87-H89-H91)*Inputs!$B$33</f>
        <v>2.40233428651971</v>
      </c>
      <c r="I92" s="47" t="n">
        <f aca="false">(I87-I89-I91)*Inputs!$B$33</f>
        <v>2.34882975811969</v>
      </c>
      <c r="J92" s="47" t="n">
        <f aca="false">(J87-J89-J91)*Inputs!$B$33</f>
        <v>9.85450965213849</v>
      </c>
      <c r="K92" s="47" t="n">
        <f aca="false">(K87-K89-K91)*Inputs!$B$33</f>
        <v>11.5312045752946</v>
      </c>
      <c r="L92" s="47" t="n">
        <f aca="false">(L87-L89-L91)*Inputs!$B$33</f>
        <v>11.5312045752946</v>
      </c>
      <c r="M92" s="47" t="n">
        <f aca="false">(M87-M89-M91)*Inputs!$B$33</f>
        <v>11.5312045752946</v>
      </c>
      <c r="N92" s="47" t="n">
        <f aca="false">(N87-N89-N91)*Inputs!$B$33</f>
        <v>11.5312045752946</v>
      </c>
      <c r="O92" s="47" t="n">
        <f aca="false">(O87-O89-O91)*Inputs!$B$33</f>
        <v>11.5312045752946</v>
      </c>
      <c r="P92" s="47" t="n">
        <f aca="false">(P87-P89-P91)*Inputs!$B$33</f>
        <v>11.5312045752946</v>
      </c>
      <c r="Q92" s="47" t="n">
        <f aca="false">(Q87-Q89-Q91)*Inputs!$B$33</f>
        <v>11.5312045752946</v>
      </c>
      <c r="R92" s="47" t="n">
        <f aca="false">(R87-R89-R91)*Inputs!$B$33</f>
        <v>11.5312045752946</v>
      </c>
      <c r="S92" s="47" t="n">
        <f aca="false">(S87-S89-S91)*Inputs!$B$33</f>
        <v>11.5312045752946</v>
      </c>
      <c r="T92" s="47" t="n">
        <f aca="false">(T87-T89-T91)*Inputs!$B$33</f>
        <v>11.5312045752946</v>
      </c>
      <c r="U92" s="47" t="n">
        <f aca="false">(U87-U89-U91)*Inputs!$B$33</f>
        <v>11.5312045752946</v>
      </c>
      <c r="V92" s="47" t="n">
        <f aca="false">(V87-V89-V91)*Inputs!$B$33</f>
        <v>11.5312045752946</v>
      </c>
      <c r="W92" s="47" t="n">
        <f aca="false">(W87-W89-W91)*Inputs!$B$33</f>
        <v>11.5312045752946</v>
      </c>
      <c r="X92" s="47" t="n">
        <f aca="false">(X87-X89-X91)*Inputs!$B$33</f>
        <v>11.5312045752946</v>
      </c>
      <c r="Y92" s="47" t="n">
        <f aca="false">(Y87-Y89-Y91)*Inputs!$B$33</f>
        <v>11.5312045752946</v>
      </c>
      <c r="Z92" s="47" t="n">
        <f aca="false">(Z87-Z89-Z91)*Inputs!$B$33</f>
        <v>11.5312045752946</v>
      </c>
      <c r="AA92" s="47" t="n">
        <f aca="false">(AA87-AA89-AA91)*Inputs!$B$33</f>
        <v>11.5312045752946</v>
      </c>
      <c r="AB92" s="47" t="n">
        <f aca="false">(AB87-AB89-AB91)*Inputs!$B$33</f>
        <v>11.5312045752946</v>
      </c>
      <c r="AC92" s="47" t="n">
        <f aca="false">(AC87-AC89-AC91)*Inputs!$B$33</f>
        <v>11.5312045752946</v>
      </c>
      <c r="AD92" s="47" t="n">
        <f aca="false">(AD87-AD89-AD91)*Inputs!$B$33</f>
        <v>11.5312045752946</v>
      </c>
      <c r="AE92" s="47" t="n">
        <f aca="false">(AE87-AE89-AE91)*Inputs!$B$33</f>
        <v>11.5312045752946</v>
      </c>
      <c r="AF92" s="47" t="n">
        <f aca="false">(AF87-AF89-AF91)*Inputs!$B$33</f>
        <v>11.5312045752946</v>
      </c>
      <c r="AG92" s="47" t="n">
        <f aca="false">(AG87-AG89-AG91)*Inputs!$B$33</f>
        <v>11.5312045752946</v>
      </c>
      <c r="AH92" s="47" t="n">
        <f aca="false">(AH87-AH89-AH91)*Inputs!$B$33</f>
        <v>11.5312045752946</v>
      </c>
      <c r="AI92" s="47" t="n">
        <f aca="false">(AI87-AI89-AI91)*Inputs!$B$33</f>
        <v>11.5312045752946</v>
      </c>
      <c r="AJ92" s="47" t="n">
        <f aca="false">(AJ87-AJ89-AJ91)*Inputs!$B$33</f>
        <v>11.5312045752946</v>
      </c>
      <c r="AK92" s="47" t="n">
        <f aca="false">(AK87-AK89-AK91)*Inputs!$B$33</f>
        <v>11.5312045752946</v>
      </c>
    </row>
    <row r="93" customFormat="false" ht="15" hidden="false" customHeight="false" outlineLevel="0" collapsed="false">
      <c r="A93" s="10" t="s">
        <v>584</v>
      </c>
      <c r="G93" s="47" t="n">
        <f aca="false">$F$43</f>
        <v>1.18366571348029</v>
      </c>
      <c r="H93" s="47" t="n">
        <f aca="false">G93</f>
        <v>1.18366571348029</v>
      </c>
      <c r="I93" s="47" t="n">
        <f aca="false">H93-H94</f>
        <v>0</v>
      </c>
      <c r="J93" s="47" t="n">
        <f aca="false">I93-I94</f>
        <v>0</v>
      </c>
      <c r="K93" s="47" t="n">
        <f aca="false">J93-J94</f>
        <v>0</v>
      </c>
      <c r="L93" s="47" t="n">
        <f aca="false">K93-K94</f>
        <v>0</v>
      </c>
      <c r="M93" s="47" t="n">
        <f aca="false">L93-L94</f>
        <v>0</v>
      </c>
      <c r="N93" s="47" t="n">
        <f aca="false">M93-M94</f>
        <v>0</v>
      </c>
      <c r="O93" s="47" t="n">
        <f aca="false">N93-N94</f>
        <v>0</v>
      </c>
      <c r="P93" s="47" t="n">
        <f aca="false">O93-O94</f>
        <v>0</v>
      </c>
      <c r="Q93" s="47" t="n">
        <f aca="false">P93-P94</f>
        <v>0</v>
      </c>
      <c r="R93" s="47" t="n">
        <f aca="false">Q93-Q94</f>
        <v>0</v>
      </c>
      <c r="S93" s="47" t="n">
        <f aca="false">R93-R94</f>
        <v>0</v>
      </c>
      <c r="T93" s="47" t="n">
        <f aca="false">S93-S94</f>
        <v>0</v>
      </c>
      <c r="U93" s="47" t="n">
        <f aca="false">T93-T94</f>
        <v>0</v>
      </c>
      <c r="V93" s="47" t="n">
        <f aca="false">U93-U94</f>
        <v>0</v>
      </c>
      <c r="W93" s="47" t="n">
        <f aca="false">V93-V94</f>
        <v>0</v>
      </c>
      <c r="X93" s="47" t="n">
        <f aca="false">W93-W94</f>
        <v>0</v>
      </c>
      <c r="Y93" s="47" t="n">
        <f aca="false">X93-X94</f>
        <v>0</v>
      </c>
      <c r="Z93" s="47" t="n">
        <f aca="false">Y93-Y94</f>
        <v>0</v>
      </c>
      <c r="AA93" s="47" t="n">
        <f aca="false">Z93-Z94</f>
        <v>0</v>
      </c>
      <c r="AB93" s="47" t="n">
        <f aca="false">AA93-AA94</f>
        <v>0</v>
      </c>
      <c r="AC93" s="47" t="n">
        <f aca="false">AB93-AB94</f>
        <v>0</v>
      </c>
      <c r="AD93" s="47" t="n">
        <f aca="false">AC93-AC94</f>
        <v>0</v>
      </c>
      <c r="AE93" s="47" t="n">
        <f aca="false">AD93-AD94</f>
        <v>0</v>
      </c>
      <c r="AF93" s="47" t="n">
        <f aca="false">AE93-AE94</f>
        <v>0</v>
      </c>
      <c r="AG93" s="47" t="n">
        <f aca="false">AF93-AF94</f>
        <v>0</v>
      </c>
      <c r="AH93" s="47" t="n">
        <f aca="false">AG93-AG94</f>
        <v>0</v>
      </c>
      <c r="AI93" s="47" t="n">
        <f aca="false">AH93-AH94</f>
        <v>0</v>
      </c>
      <c r="AJ93" s="47" t="n">
        <f aca="false">AI93-AI94</f>
        <v>0</v>
      </c>
      <c r="AK93" s="47" t="n">
        <f aca="false">AJ93-AJ94</f>
        <v>0</v>
      </c>
    </row>
    <row r="94" customFormat="false" ht="15" hidden="false" customHeight="false" outlineLevel="0" collapsed="false">
      <c r="A94" s="10" t="s">
        <v>585</v>
      </c>
      <c r="H94" s="47" t="n">
        <f aca="false">IF(1&lt;=Inputs!$B$43,MIN(H93,H92,MAX(0,Inputs!$B$36-H89)*Inputs!$B$33),0)</f>
        <v>1.18366571348029</v>
      </c>
      <c r="I94" s="47" t="n">
        <f aca="false">IF(2&lt;=Inputs!$B$43,MIN(I93,I92,MAX(0,Inputs!$B$36-I89)*Inputs!$B$33),0)</f>
        <v>0</v>
      </c>
      <c r="J94" s="47" t="n">
        <f aca="false">IF(3&lt;=Inputs!$B$43,MIN(J93,J92,MAX(0,Inputs!$B$36-J89)*Inputs!$B$33),0)</f>
        <v>0</v>
      </c>
      <c r="K94" s="47" t="n">
        <f aca="false">IF(4&lt;=Inputs!$B$43,MIN(K93,K92,MAX(0,Inputs!$B$36-K89)*Inputs!$B$33),0)</f>
        <v>0</v>
      </c>
      <c r="L94" s="47" t="n">
        <f aca="false">IF(5&lt;=Inputs!$B$43,MIN(L93,L92,MAX(0,Inputs!$B$36-L89)*Inputs!$B$33),0)</f>
        <v>0</v>
      </c>
      <c r="M94" s="47" t="n">
        <f aca="false">IF(6&lt;=Inputs!$B$43,MIN(M93,M92,MAX(0,Inputs!$B$36-M89)*Inputs!$B$33),0)</f>
        <v>0</v>
      </c>
      <c r="N94" s="47" t="n">
        <f aca="false">IF(7&lt;=Inputs!$B$43,MIN(N93,N92,MAX(0,Inputs!$B$36-N89)*Inputs!$B$33),0)</f>
        <v>0</v>
      </c>
      <c r="O94" s="47" t="n">
        <f aca="false">IF(8&lt;=Inputs!$B$43,MIN(O93,O92,MAX(0,Inputs!$B$36-O89)*Inputs!$B$33),0)</f>
        <v>0</v>
      </c>
      <c r="P94" s="47" t="n">
        <f aca="false">IF(9&lt;=Inputs!$B$43,MIN(P93,P92,MAX(0,Inputs!$B$36-P89)*Inputs!$B$33),0)</f>
        <v>0</v>
      </c>
      <c r="Q94" s="47" t="n">
        <f aca="false">IF(10&lt;=Inputs!$B$43,MIN(Q93,Q92,MAX(0,Inputs!$B$36-Q89)*Inputs!$B$33),0)</f>
        <v>0</v>
      </c>
      <c r="R94" s="47" t="n">
        <f aca="false">IF(11&lt;=Inputs!$B$43,MIN(R93,R92,MAX(0,Inputs!$B$36-R89)*Inputs!$B$33),0)</f>
        <v>0</v>
      </c>
      <c r="S94" s="47" t="n">
        <f aca="false">IF(12&lt;=Inputs!$B$43,MIN(S93,S92,MAX(0,Inputs!$B$36-S89)*Inputs!$B$33),0)</f>
        <v>0</v>
      </c>
      <c r="T94" s="47" t="n">
        <f aca="false">IF(13&lt;=Inputs!$B$43,MIN(T93,T92,MAX(0,Inputs!$B$36-T89)*Inputs!$B$33),0)</f>
        <v>0</v>
      </c>
      <c r="U94" s="47" t="n">
        <f aca="false">IF(14&lt;=Inputs!$B$43,MIN(U93,U92,MAX(0,Inputs!$B$36-U89)*Inputs!$B$33),0)</f>
        <v>0</v>
      </c>
      <c r="V94" s="47" t="n">
        <f aca="false">IF(15&lt;=Inputs!$B$43,MIN(V93,V92,MAX(0,Inputs!$B$36-V89)*Inputs!$B$33),0)</f>
        <v>0</v>
      </c>
      <c r="W94" s="47" t="n">
        <f aca="false">IF(16&lt;=Inputs!$B$43,MIN(W93,W92,MAX(0,Inputs!$B$36-W89)*Inputs!$B$33),0)</f>
        <v>0</v>
      </c>
      <c r="X94" s="47" t="n">
        <f aca="false">IF(17&lt;=Inputs!$B$43,MIN(X93,X92,MAX(0,Inputs!$B$36-X89)*Inputs!$B$33),0)</f>
        <v>0</v>
      </c>
      <c r="Y94" s="47" t="n">
        <f aca="false">IF(18&lt;=Inputs!$B$43,MIN(Y93,Y92,MAX(0,Inputs!$B$36-Y89)*Inputs!$B$33),0)</f>
        <v>0</v>
      </c>
      <c r="Z94" s="47" t="n">
        <f aca="false">IF(19&lt;=Inputs!$B$43,MIN(Z93,Z92,MAX(0,Inputs!$B$36-Z89)*Inputs!$B$33),0)</f>
        <v>0</v>
      </c>
      <c r="AA94" s="47" t="n">
        <f aca="false">IF(20&lt;=Inputs!$B$43,MIN(AA93,AA92,MAX(0,Inputs!$B$36-AA89)*Inputs!$B$33),0)</f>
        <v>0</v>
      </c>
      <c r="AB94" s="47" t="n">
        <f aca="false">IF(21&lt;=Inputs!$B$43,MIN(AB93,AB92,MAX(0,Inputs!$B$36-AB89)*Inputs!$B$33),0)</f>
        <v>0</v>
      </c>
      <c r="AC94" s="47" t="n">
        <f aca="false">IF(22&lt;=Inputs!$B$43,MIN(AC93,AC92,MAX(0,Inputs!$B$36-AC89)*Inputs!$B$33),0)</f>
        <v>0</v>
      </c>
      <c r="AD94" s="47" t="n">
        <f aca="false">IF(23&lt;=Inputs!$B$43,MIN(AD93,AD92,MAX(0,Inputs!$B$36-AD89)*Inputs!$B$33),0)</f>
        <v>0</v>
      </c>
      <c r="AE94" s="47" t="n">
        <f aca="false">IF(24&lt;=Inputs!$B$43,MIN(AE93,AE92,MAX(0,Inputs!$B$36-AE89)*Inputs!$B$33),0)</f>
        <v>0</v>
      </c>
      <c r="AF94" s="47" t="n">
        <f aca="false">IF(25&lt;=Inputs!$B$43,MIN(AF93,AF92,MAX(0,Inputs!$B$36-AF89)*Inputs!$B$33),0)</f>
        <v>0</v>
      </c>
      <c r="AG94" s="47" t="n">
        <f aca="false">IF(26&lt;=Inputs!$B$43,MIN(AG93,AG92,MAX(0,Inputs!$B$36-AG89)*Inputs!$B$33),0)</f>
        <v>0</v>
      </c>
      <c r="AH94" s="47" t="n">
        <f aca="false">IF(27&lt;=Inputs!$B$43,MIN(AH93,AH92,MAX(0,Inputs!$B$36-AH89)*Inputs!$B$33),0)</f>
        <v>0</v>
      </c>
      <c r="AI94" s="47" t="n">
        <f aca="false">IF(28&lt;=Inputs!$B$43,MIN(AI93,AI92,MAX(0,Inputs!$B$36-AI89)*Inputs!$B$33),0)</f>
        <v>0</v>
      </c>
      <c r="AJ94" s="47" t="n">
        <f aca="false">IF(29&lt;=Inputs!$B$43,MIN(AJ93,AJ92,MAX(0,Inputs!$B$36-AJ89)*Inputs!$B$33),0)</f>
        <v>0</v>
      </c>
      <c r="AK94" s="47" t="n">
        <f aca="false">IF(30&lt;=Inputs!$B$43,MIN(AK93,AK92,MAX(0,Inputs!$B$36-AK89)*Inputs!$B$33),0)</f>
        <v>0</v>
      </c>
    </row>
    <row r="95" customFormat="false" ht="15" hidden="false" customHeight="false" outlineLevel="0" collapsed="false">
      <c r="A95" s="10" t="s">
        <v>586</v>
      </c>
      <c r="H95" s="47" t="n">
        <f aca="false">($B$80*Inputs!$B$34+($B$80-$B$80*Inputs!$B$34)*Inputs!$B$33)-(H86+H92-H94)</f>
        <v>12.6004734179883</v>
      </c>
      <c r="I95" s="47" t="n">
        <f aca="false">($B$80*Inputs!$B$34+($B$80-$B$80*Inputs!$B$34)*Inputs!$B$33)-(I86+I92-I94)</f>
        <v>10.1963948900503</v>
      </c>
      <c r="J95" s="47" t="n">
        <f aca="false">($B$80*Inputs!$B$34+($B$80-$B$80*Inputs!$B$34)*Inputs!$B$33)-(J86+J92-J94)</f>
        <v>1.67669492315612</v>
      </c>
      <c r="K95" s="47" t="n">
        <f aca="false">($B$80*Inputs!$B$34+($B$80-$B$80*Inputs!$B$34)*Inputs!$B$33)-(K86+K92-K94)</f>
        <v>0</v>
      </c>
      <c r="L95" s="47" t="n">
        <f aca="false">($B$80*Inputs!$B$34+($B$80-$B$80*Inputs!$B$34)*Inputs!$B$33)-(L86+L92-L94)</f>
        <v>0</v>
      </c>
      <c r="M95" s="47" t="n">
        <f aca="false">($B$80*Inputs!$B$34+($B$80-$B$80*Inputs!$B$34)*Inputs!$B$33)-(M86+M92-M94)</f>
        <v>0</v>
      </c>
      <c r="N95" s="47" t="n">
        <f aca="false">($B$80*Inputs!$B$34+($B$80-$B$80*Inputs!$B$34)*Inputs!$B$33)-(N86+N92-N94)</f>
        <v>0</v>
      </c>
      <c r="O95" s="47" t="n">
        <f aca="false">($B$80*Inputs!$B$34+($B$80-$B$80*Inputs!$B$34)*Inputs!$B$33)-(O86+O92-O94)</f>
        <v>0</v>
      </c>
      <c r="P95" s="47" t="n">
        <f aca="false">($B$80*Inputs!$B$34+($B$80-$B$80*Inputs!$B$34)*Inputs!$B$33)-(P86+P92-P94)</f>
        <v>0</v>
      </c>
      <c r="Q95" s="47" t="n">
        <f aca="false">($B$80*Inputs!$B$34+($B$80-$B$80*Inputs!$B$34)*Inputs!$B$33)-(Q86+Q92-Q94)</f>
        <v>0</v>
      </c>
      <c r="R95" s="47" t="n">
        <f aca="false">($B$80*Inputs!$B$34+($B$80-$B$80*Inputs!$B$34)*Inputs!$B$33)-(R86+R92-R94)</f>
        <v>0</v>
      </c>
      <c r="S95" s="47" t="n">
        <f aca="false">($B$80*Inputs!$B$34+($B$80-$B$80*Inputs!$B$34)*Inputs!$B$33)-(S86+S92-S94)</f>
        <v>0</v>
      </c>
      <c r="T95" s="47" t="n">
        <f aca="false">($B$80*Inputs!$B$34+($B$80-$B$80*Inputs!$B$34)*Inputs!$B$33)-(T86+T92-T94)</f>
        <v>0</v>
      </c>
      <c r="U95" s="47" t="n">
        <f aca="false">($B$80*Inputs!$B$34+($B$80-$B$80*Inputs!$B$34)*Inputs!$B$33)-(U86+U92-U94)</f>
        <v>0</v>
      </c>
      <c r="V95" s="47" t="n">
        <f aca="false">($B$80*Inputs!$B$34+($B$80-$B$80*Inputs!$B$34)*Inputs!$B$33)-(V86+V92-V94)</f>
        <v>0</v>
      </c>
      <c r="W95" s="47" t="n">
        <f aca="false">($B$80*Inputs!$B$34+($B$80-$B$80*Inputs!$B$34)*Inputs!$B$33)-(W86+W92-W94)</f>
        <v>0</v>
      </c>
      <c r="X95" s="47" t="n">
        <f aca="false">($B$80*Inputs!$B$34+($B$80-$B$80*Inputs!$B$34)*Inputs!$B$33)-(X86+X92-X94)</f>
        <v>0</v>
      </c>
      <c r="Y95" s="47" t="n">
        <f aca="false">($B$80*Inputs!$B$34+($B$80-$B$80*Inputs!$B$34)*Inputs!$B$33)-(Y86+Y92-Y94)</f>
        <v>0</v>
      </c>
      <c r="Z95" s="47" t="n">
        <f aca="false">($B$80*Inputs!$B$34+($B$80-$B$80*Inputs!$B$34)*Inputs!$B$33)-(Z86+Z92-Z94)</f>
        <v>0</v>
      </c>
      <c r="AA95" s="47" t="n">
        <f aca="false">($B$80*Inputs!$B$34+($B$80-$B$80*Inputs!$B$34)*Inputs!$B$33)-(AA86+AA92-AA94)</f>
        <v>0</v>
      </c>
      <c r="AB95" s="47" t="n">
        <f aca="false">($B$80*Inputs!$B$34+($B$80-$B$80*Inputs!$B$34)*Inputs!$B$33)-(AB86+AB92-AB94)</f>
        <v>0</v>
      </c>
      <c r="AC95" s="47" t="n">
        <f aca="false">($B$80*Inputs!$B$34+($B$80-$B$80*Inputs!$B$34)*Inputs!$B$33)-(AC86+AC92-AC94)</f>
        <v>0</v>
      </c>
      <c r="AD95" s="47" t="n">
        <f aca="false">($B$80*Inputs!$B$34+($B$80-$B$80*Inputs!$B$34)*Inputs!$B$33)-(AD86+AD92-AD94)</f>
        <v>0</v>
      </c>
      <c r="AE95" s="47" t="n">
        <f aca="false">($B$80*Inputs!$B$34+($B$80-$B$80*Inputs!$B$34)*Inputs!$B$33)-(AE86+AE92-AE94)</f>
        <v>0</v>
      </c>
      <c r="AF95" s="47" t="n">
        <f aca="false">($B$80*Inputs!$B$34+($B$80-$B$80*Inputs!$B$34)*Inputs!$B$33)-(AF86+AF92-AF94)</f>
        <v>0</v>
      </c>
      <c r="AG95" s="47" t="n">
        <f aca="false">($B$80*Inputs!$B$34+($B$80-$B$80*Inputs!$B$34)*Inputs!$B$33)-(AG86+AG92-AG94)</f>
        <v>0</v>
      </c>
      <c r="AH95" s="47" t="n">
        <f aca="false">($B$80*Inputs!$B$34+($B$80-$B$80*Inputs!$B$34)*Inputs!$B$33)-(AH86+AH92-AH94)</f>
        <v>0</v>
      </c>
      <c r="AI95" s="47" t="n">
        <f aca="false">($B$80*Inputs!$B$34+($B$80-$B$80*Inputs!$B$34)*Inputs!$B$33)-(AI86+AI92-AI94)</f>
        <v>0</v>
      </c>
      <c r="AJ95" s="47" t="n">
        <f aca="false">($B$80*Inputs!$B$34+($B$80-$B$80*Inputs!$B$34)*Inputs!$B$33)-(AJ86+AJ92-AJ94)</f>
        <v>0</v>
      </c>
      <c r="AK95" s="47" t="n">
        <f aca="false">($B$80*Inputs!$B$34+($B$80-$B$80*Inputs!$B$34)*Inputs!$B$33)-(AK86+AK92-AK94)</f>
        <v>0</v>
      </c>
    </row>
    <row r="96" customFormat="false" ht="15" hidden="false" customHeight="false" outlineLevel="0" collapsed="false">
      <c r="A96" s="10" t="s">
        <v>587</v>
      </c>
      <c r="B96" s="47" t="n">
        <f aca="false">SUMPRODUCT($H$95:$AK$95,$H$81:$AK$81)</f>
        <v>20.8533855619061</v>
      </c>
    </row>
    <row r="97" customFormat="false" ht="15" hidden="false" customHeight="false" outlineLevel="0" collapsed="false">
      <c r="A97" s="10" t="s">
        <v>588</v>
      </c>
      <c r="B97" s="47" t="n">
        <f aca="false">Inputs!$B$42*$B$96*$F$527</f>
        <v>13.7367709854157</v>
      </c>
    </row>
    <row r="98" customFormat="false" ht="15" hidden="false" customHeight="false" outlineLevel="0" collapsed="false">
      <c r="A98" s="10" t="s">
        <v>589</v>
      </c>
      <c r="B98" s="47" t="n">
        <f aca="false">$B$64</f>
        <v>23.7566180904523</v>
      </c>
    </row>
    <row r="99" customFormat="false" ht="15" hidden="false" customHeight="false" outlineLevel="0" collapsed="false">
      <c r="A99" s="10" t="s">
        <v>590</v>
      </c>
      <c r="B99" s="47" t="n">
        <f aca="false">0</f>
        <v>0</v>
      </c>
    </row>
    <row r="100" customFormat="false" ht="15" hidden="false" customHeight="false" outlineLevel="0" collapsed="false">
      <c r="A100" s="10" t="s">
        <v>591</v>
      </c>
      <c r="B100" s="47" t="n">
        <f aca="false">SUMPRODUCT($C$59:$F$59,$C$527:$F$527)</f>
        <v>0.82909339692004</v>
      </c>
    </row>
    <row r="101" customFormat="false" ht="15" hidden="false" customHeight="false" outlineLevel="0" collapsed="false">
      <c r="A101" s="13" t="s">
        <v>592</v>
      </c>
      <c r="B101" s="18" t="n">
        <f aca="false">$B$79+$B$97+$B$98+$B$99-$B$100</f>
        <v>878.507192411406</v>
      </c>
    </row>
    <row r="102" customFormat="false" ht="15" hidden="false" customHeight="false" outlineLevel="0" collapsed="false">
      <c r="A102" s="10" t="s">
        <v>593</v>
      </c>
      <c r="B102" s="25" t="n">
        <f aca="false">Historicals!$B$50+Inputs!$B$15+Inputs!$B$16</f>
        <v>14.1934659057591</v>
      </c>
    </row>
    <row r="103" customFormat="false" ht="15" hidden="false" customHeight="false" outlineLevel="0" collapsed="false">
      <c r="A103" s="10" t="s">
        <v>594</v>
      </c>
      <c r="B103" s="32" t="n">
        <f aca="false">IFERROR(($B$101-$B$58*(1-Inputs!$B$70))/$B$102,0)</f>
        <v>61.8951846042724</v>
      </c>
    </row>
    <row r="104" customFormat="false" ht="15" hidden="false" customHeight="false" outlineLevel="0" collapsed="false">
      <c r="A104" s="10" t="s">
        <v>595</v>
      </c>
      <c r="B104" s="25" t="n">
        <f aca="false">IF($B$103&gt;0,$B$58/($B$103*(1-Inputs!$B$71)),0)</f>
        <v>0</v>
      </c>
    </row>
    <row r="105" customFormat="false" ht="15" hidden="false" customHeight="false" outlineLevel="0" collapsed="false">
      <c r="A105" s="10" t="s">
        <v>596</v>
      </c>
      <c r="B105" s="32" t="n">
        <f aca="false">IFERROR($B$101/($B$102+$B$104),0)</f>
        <v>61.8951846042724</v>
      </c>
    </row>
    <row r="106" customFormat="false" ht="15" hidden="false" customHeight="false" outlineLevel="0" collapsed="false">
      <c r="A106" s="10" t="s">
        <v>597</v>
      </c>
      <c r="B106" s="47" t="n">
        <f aca="false">SUMPRODUCT($C$58:$F$58,$C$527:$F$527)</f>
        <v>0</v>
      </c>
    </row>
    <row r="107" customFormat="false" ht="15" hidden="false" customHeight="false" outlineLevel="0" collapsed="false">
      <c r="A107" s="10" t="s">
        <v>598</v>
      </c>
      <c r="B107" s="25" t="n">
        <f aca="false">IF($B$105&gt;0,$B$104+$B$106/($B$105*(1-Inputs!$B$71)),0)</f>
        <v>0</v>
      </c>
    </row>
    <row r="108" customFormat="false" ht="15" hidden="false" customHeight="false" outlineLevel="0" collapsed="false">
      <c r="A108" s="13" t="s">
        <v>599</v>
      </c>
      <c r="B108" s="15" t="n">
        <f aca="false">IFERROR(($B$101+$B$106)/($B$102+$B$107),0)</f>
        <v>61.8951846042724</v>
      </c>
    </row>
    <row r="109" customFormat="false" ht="15" hidden="false" customHeight="false" outlineLevel="0" collapsed="false">
      <c r="A109" s="10" t="s">
        <v>600</v>
      </c>
      <c r="B109" s="49" t="str">
        <f aca="false">IF($F$66&gt;Inputs!$B$72,"Not meaningful: funding need above limit",IF(OR($B$70&lt;=0,$B$75&lt;=0),"Not meaningful: 2030 profit or cash flow negative",IF(OR($B$74&lt;=0,$B$78&lt;=0),"Not meaningful: a method gives zero or negative value",IF($B$101&lt;=0,"Not meaningful: value at or below zero","OK"))))</f>
        <v>OK</v>
      </c>
    </row>
    <row r="110" customFormat="false" ht="15" hidden="false" customHeight="false" outlineLevel="0" collapsed="false">
      <c r="A110" s="13" t="s">
        <v>601</v>
      </c>
      <c r="B110" s="15" t="n">
        <f aca="false">IF($B$109="OK",$B$108,"unresolved")</f>
        <v>61.8951846042724</v>
      </c>
    </row>
    <row r="111" customFormat="false" ht="15" hidden="false" customHeight="false" outlineLevel="0" collapsed="false">
      <c r="A111" s="10" t="s">
        <v>602</v>
      </c>
      <c r="B111" s="47" t="n">
        <f aca="false">IF(ISNUMBER($B$110),$B$110*$B$102,"unresolved")</f>
        <v>878.507192411406</v>
      </c>
    </row>
    <row r="112" customFormat="false" ht="15" hidden="false" customHeight="false" outlineLevel="0" collapsed="false">
      <c r="A112" s="10" t="s">
        <v>603</v>
      </c>
      <c r="B112" s="47" t="n">
        <f aca="false">IFERROR($B$101-$B$58*(1-Inputs!$B$70)-$B$111,"n/a")</f>
        <v>0</v>
      </c>
    </row>
    <row r="114" customFormat="false" ht="15" hidden="false" customHeight="false" outlineLevel="0" collapsed="false">
      <c r="A114" s="8" t="s">
        <v>604</v>
      </c>
      <c r="B114" s="9" t="s">
        <v>495</v>
      </c>
      <c r="C114" s="9" t="s">
        <v>496</v>
      </c>
      <c r="D114" s="9" t="s">
        <v>497</v>
      </c>
      <c r="E114" s="9" t="s">
        <v>498</v>
      </c>
      <c r="F114" s="9" t="s">
        <v>499</v>
      </c>
    </row>
    <row r="115" customFormat="false" ht="15" hidden="false" customHeight="false" outlineLevel="0" collapsed="false">
      <c r="A115" s="10" t="s">
        <v>605</v>
      </c>
      <c r="B115" s="47" t="n">
        <f aca="false">Historicals!$C$73+Inputs!$C$120</f>
        <v>78.81</v>
      </c>
      <c r="C115" s="47" t="n">
        <f aca="false">B115*(1+Inputs!$C$124)</f>
        <v>81.1743</v>
      </c>
      <c r="D115" s="47" t="n">
        <f aca="false">C115*(1+Inputs!$C$125)</f>
        <v>85.233015</v>
      </c>
      <c r="E115" s="47" t="n">
        <f aca="false">D115*(1+Inputs!$C$126)</f>
        <v>89.49466575</v>
      </c>
      <c r="F115" s="47" t="n">
        <f aca="false">E115*(1+Inputs!$C$127)</f>
        <v>93.9693990375</v>
      </c>
    </row>
    <row r="116" customFormat="false" ht="15" hidden="false" customHeight="false" outlineLevel="0" collapsed="false">
      <c r="A116" s="10" t="s">
        <v>606</v>
      </c>
      <c r="B116" s="47" t="n">
        <f aca="false">Historicals!$C$74+Inputs!$C$121</f>
        <v>11.728</v>
      </c>
      <c r="C116" s="47" t="n">
        <f aca="false">B116*(1+Inputs!$C$128)</f>
        <v>14.0736</v>
      </c>
      <c r="D116" s="47" t="n">
        <f aca="false">C116*(1+Inputs!$C$129)</f>
        <v>16.88832</v>
      </c>
      <c r="E116" s="47" t="n">
        <f aca="false">D116*(1+Inputs!$C$130)</f>
        <v>20.265984</v>
      </c>
      <c r="F116" s="47" t="n">
        <f aca="false">E116*(1+Inputs!$C$131)</f>
        <v>24.3191808</v>
      </c>
    </row>
    <row r="117" customFormat="false" ht="15" hidden="false" customHeight="false" outlineLevel="0" collapsed="false">
      <c r="A117" s="10" t="s">
        <v>607</v>
      </c>
      <c r="B117" s="47" t="n">
        <f aca="false">Historicals!$C$75+Inputs!$C$122</f>
        <v>17.831</v>
      </c>
      <c r="C117" s="47" t="n">
        <f aca="false">B117*(1+Inputs!$C$132)</f>
        <v>21.04058</v>
      </c>
      <c r="D117" s="47" t="n">
        <f aca="false">C117*(1+Inputs!$C$133)</f>
        <v>24.8278844</v>
      </c>
      <c r="E117" s="47" t="n">
        <f aca="false">D117*(1+Inputs!$C$134)</f>
        <v>29.296903592</v>
      </c>
      <c r="F117" s="47" t="n">
        <f aca="false">E117*(1+Inputs!$C$135)</f>
        <v>34.57034623856</v>
      </c>
    </row>
    <row r="118" customFormat="false" ht="15" hidden="false" customHeight="false" outlineLevel="0" collapsed="false">
      <c r="A118" s="10" t="s">
        <v>608</v>
      </c>
      <c r="B118" s="26" t="n">
        <v>0</v>
      </c>
      <c r="C118" s="47" t="n">
        <f aca="false">1*Inputs!$C$136</f>
        <v>1</v>
      </c>
      <c r="D118" s="47" t="n">
        <f aca="false">1*Inputs!$C$137</f>
        <v>4</v>
      </c>
      <c r="E118" s="47" t="n">
        <f aca="false">1*Inputs!$C$138</f>
        <v>10</v>
      </c>
      <c r="F118" s="47" t="n">
        <f aca="false">1*Inputs!$C$139</f>
        <v>20</v>
      </c>
    </row>
    <row r="119" customFormat="false" ht="15" hidden="false" customHeight="false" outlineLevel="0" collapsed="false">
      <c r="A119" s="13" t="s">
        <v>108</v>
      </c>
      <c r="B119" s="18" t="n">
        <f aca="false">B115+B116+B117+B118</f>
        <v>108.369</v>
      </c>
      <c r="C119" s="18" t="n">
        <f aca="false">C115+C116+C117+C118</f>
        <v>117.28848</v>
      </c>
      <c r="D119" s="18" t="n">
        <f aca="false">D115+D116+D117+D118</f>
        <v>130.9492194</v>
      </c>
      <c r="E119" s="18" t="n">
        <f aca="false">E115+E116+E117+E118</f>
        <v>149.057553342</v>
      </c>
      <c r="F119" s="18" t="n">
        <f aca="false">F115+F116+F117+F118</f>
        <v>172.85892607606</v>
      </c>
    </row>
    <row r="120" customFormat="false" ht="15" hidden="false" customHeight="false" outlineLevel="0" collapsed="false">
      <c r="A120" s="10" t="s">
        <v>501</v>
      </c>
      <c r="C120" s="19" t="n">
        <f aca="false">IFERROR(C119/B119-1,0)</f>
        <v>0.0823065636851865</v>
      </c>
      <c r="D120" s="19" t="n">
        <f aca="false">IFERROR(D119/C119-1,0)</f>
        <v>0.116471280043871</v>
      </c>
      <c r="E120" s="19" t="n">
        <f aca="false">IFERROR(E119/D119-1,0)</f>
        <v>0.138285161415785</v>
      </c>
      <c r="F120" s="19" t="n">
        <f aca="false">IFERROR(F119/E119-1,0)</f>
        <v>0.159679078318492</v>
      </c>
    </row>
    <row r="121" customFormat="false" ht="15" hidden="false" customHeight="false" outlineLevel="0" collapsed="false">
      <c r="A121" s="10" t="s">
        <v>609</v>
      </c>
      <c r="C121" s="47" t="n">
        <f aca="false">C115*(Inputs!$C$140+(Inputs!$C$141-Inputs!$C$140)*0/3)</f>
        <v>11.364402</v>
      </c>
      <c r="D121" s="47" t="n">
        <f aca="false">D115*(Inputs!$C$140+(Inputs!$C$141-Inputs!$C$140)*1/3)</f>
        <v>12.78495225</v>
      </c>
      <c r="E121" s="47" t="n">
        <f aca="false">E115*(Inputs!$C$140+(Inputs!$C$141-Inputs!$C$140)*2/3)</f>
        <v>14.31914652</v>
      </c>
      <c r="F121" s="47" t="n">
        <f aca="false">F115*(Inputs!$C$140+(Inputs!$C$141-Inputs!$C$140)*3/3)</f>
        <v>15.974797836375</v>
      </c>
    </row>
    <row r="122" customFormat="false" ht="15" hidden="false" customHeight="false" outlineLevel="0" collapsed="false">
      <c r="A122" s="10" t="s">
        <v>610</v>
      </c>
      <c r="C122" s="47" t="n">
        <f aca="false">C116*(Inputs!$C$142+(Inputs!$C$143-Inputs!$C$142)*0/3)</f>
        <v>4.081344</v>
      </c>
      <c r="D122" s="47" t="n">
        <f aca="false">D116*(Inputs!$C$142+(Inputs!$C$143-Inputs!$C$142)*1/3)</f>
        <v>5.0102016</v>
      </c>
      <c r="E122" s="47" t="n">
        <f aca="false">E116*(Inputs!$C$142+(Inputs!$C$143-Inputs!$C$142)*2/3)</f>
        <v>6.14734848</v>
      </c>
      <c r="F122" s="47" t="n">
        <f aca="false">F116*(Inputs!$C$142+(Inputs!$C$143-Inputs!$C$142)*3/3)</f>
        <v>7.538946048</v>
      </c>
    </row>
    <row r="123" customFormat="false" ht="15" hidden="false" customHeight="false" outlineLevel="0" collapsed="false">
      <c r="A123" s="10" t="s">
        <v>611</v>
      </c>
      <c r="C123" s="47" t="n">
        <f aca="false">C117*(Inputs!$C$144+(Inputs!$C$145-Inputs!$C$144)*0/3)</f>
        <v>4.4185218</v>
      </c>
      <c r="D123" s="47" t="n">
        <f aca="false">D117*(Inputs!$C$144+(Inputs!$C$145-Inputs!$C$144)*1/3)</f>
        <v>5.37937495333333</v>
      </c>
      <c r="E123" s="47" t="n">
        <f aca="false">E117*(Inputs!$C$144+(Inputs!$C$145-Inputs!$C$144)*2/3)</f>
        <v>6.54297513554667</v>
      </c>
      <c r="F123" s="47" t="n">
        <f aca="false">F117*(Inputs!$C$144+(Inputs!$C$145-Inputs!$C$144)*3/3)</f>
        <v>7.9511796348688</v>
      </c>
    </row>
    <row r="124" customFormat="false" ht="15" hidden="false" customHeight="false" outlineLevel="0" collapsed="false">
      <c r="A124" s="10" t="s">
        <v>612</v>
      </c>
      <c r="C124" s="47" t="n">
        <f aca="false">C118*(Inputs!$C$146+(Inputs!$C$147-Inputs!$C$146)*0/3)</f>
        <v>-0.09</v>
      </c>
      <c r="D124" s="47" t="n">
        <f aca="false">D118*(Inputs!$C$146+(Inputs!$C$147-Inputs!$C$146)*1/3)</f>
        <v>0.306666666666667</v>
      </c>
      <c r="E124" s="47" t="n">
        <f aca="false">E118*(Inputs!$C$146+(Inputs!$C$147-Inputs!$C$146)*2/3)</f>
        <v>2.43333333333333</v>
      </c>
      <c r="F124" s="47" t="n">
        <f aca="false">F118*(Inputs!$C$146+(Inputs!$C$147-Inputs!$C$146)*3/3)</f>
        <v>8.2</v>
      </c>
    </row>
    <row r="125" customFormat="false" ht="15" hidden="false" customHeight="false" outlineLevel="0" collapsed="false">
      <c r="A125" s="10" t="s">
        <v>505</v>
      </c>
      <c r="C125" s="47" t="n">
        <f aca="false">C121+C122+C123+C124</f>
        <v>19.7742678</v>
      </c>
      <c r="D125" s="47" t="n">
        <f aca="false">D121+D122+D123+D124</f>
        <v>23.48119547</v>
      </c>
      <c r="E125" s="47" t="n">
        <f aca="false">E121+E122+E123+E124</f>
        <v>29.44280346888</v>
      </c>
      <c r="F125" s="47" t="n">
        <f aca="false">F121+F122+F123+F124</f>
        <v>39.6649235192438</v>
      </c>
    </row>
    <row r="126" customFormat="false" ht="15" hidden="false" customHeight="false" outlineLevel="0" collapsed="false">
      <c r="A126" s="10" t="s">
        <v>613</v>
      </c>
      <c r="B126" s="47" t="n">
        <f aca="false">(Inputs!$C$120+Inputs!$C$121+Inputs!$C$122)*Inputs!$C$148</f>
        <v>1.188</v>
      </c>
      <c r="C126" s="47" t="n">
        <f aca="false">C119*Inputs!$C$148</f>
        <v>4.6915392</v>
      </c>
      <c r="D126" s="47" t="n">
        <f aca="false">D119*Inputs!$C$148</f>
        <v>5.237968776</v>
      </c>
      <c r="E126" s="47" t="n">
        <f aca="false">E119*Inputs!$C$148</f>
        <v>5.96230213368</v>
      </c>
      <c r="F126" s="47" t="n">
        <f aca="false">F119*Inputs!$C$148</f>
        <v>6.9143570430424</v>
      </c>
    </row>
    <row r="127" customFormat="false" ht="15" hidden="false" customHeight="false" outlineLevel="0" collapsed="false">
      <c r="A127" s="10" t="s">
        <v>614</v>
      </c>
      <c r="B127" s="26" t="n">
        <v>0</v>
      </c>
      <c r="C127" s="26" t="n">
        <v>0</v>
      </c>
      <c r="D127" s="26" t="n">
        <v>0</v>
      </c>
      <c r="E127" s="26" t="n">
        <v>0</v>
      </c>
      <c r="F127" s="26" t="n">
        <v>0</v>
      </c>
    </row>
    <row r="128" customFormat="false" ht="15" hidden="false" customHeight="false" outlineLevel="0" collapsed="false">
      <c r="A128" s="10" t="s">
        <v>615</v>
      </c>
      <c r="B128" s="47" t="n">
        <f aca="false">Historicals!$C$76+Inputs!$B$53/4</f>
        <v>6.748</v>
      </c>
      <c r="C128" s="47" t="n">
        <f aca="false">Inputs!$B$53*MAX(0,MIN(1,(Inputs!$B$57-1+0.5)/Inputs!$B$57))+$B132*IF(1&lt;=Inputs!$B$49,1,0)/Inputs!$B$49+C131*0.5/Inputs!$B$49</f>
        <v>8.30510676666667</v>
      </c>
      <c r="D128" s="47" t="n">
        <f aca="false">Inputs!$B$53*MAX(0,MIN(1,(Inputs!$B$57-2+0.5)/Inputs!$B$57))+$B132*IF(2&lt;=Inputs!$B$49,1,0)/Inputs!$B$49+C131*IF(1&lt;=Inputs!$B$49-1,1,IF(1=Inputs!$B$49,0.5,0))/Inputs!$B$49+D131*0.5/Inputs!$B$49</f>
        <v>9.68156021925</v>
      </c>
      <c r="E128" s="47" t="n">
        <f aca="false">Inputs!$B$53*MAX(0,MIN(1,(Inputs!$B$57-3+0.5)/Inputs!$B$57))+$B132*IF(3&lt;=Inputs!$B$49,1,0)/Inputs!$B$49+C131*IF(2&lt;=Inputs!$B$49-1,1,IF(2=Inputs!$B$49,0.5,0))/Inputs!$B$49+D131*IF(1&lt;=Inputs!$B$49-1,1,IF(1=Inputs!$B$49,0.5,0))/Inputs!$B$49+E131*0.5/Inputs!$B$49</f>
        <v>11.0850235066296</v>
      </c>
      <c r="F128" s="47" t="n">
        <f aca="false">Inputs!$B$53*MAX(0,MIN(1,(Inputs!$B$57-4+0.5)/Inputs!$B$57))+$B132*IF(4&lt;=Inputs!$B$49,1,0)/Inputs!$B$49+C131*IF(3&lt;=Inputs!$B$49-1,1,IF(3=Inputs!$B$49,0.5,0))/Inputs!$B$49+D131*IF(2&lt;=Inputs!$B$49-1,1,IF(2=Inputs!$B$49,0.5,0))/Inputs!$B$49+E131*IF(1&lt;=Inputs!$B$49-1,1,IF(1=Inputs!$B$49,0.5,0))/Inputs!$B$49+F131*0.5/Inputs!$B$49</f>
        <v>12.5299987203296</v>
      </c>
    </row>
    <row r="129" customFormat="false" ht="15" hidden="false" customHeight="false" outlineLevel="0" collapsed="false">
      <c r="A129" s="13" t="s">
        <v>513</v>
      </c>
      <c r="B129" s="18" t="n">
        <f aca="false">Historicals!$C$72+(Inputs!$C$120+Inputs!$C$121+Inputs!$C$122)*Inputs!$C$123</f>
        <v>2.948</v>
      </c>
      <c r="C129" s="18" t="n">
        <f aca="false">C125-C126-C128</f>
        <v>6.77762183333333</v>
      </c>
      <c r="D129" s="18" t="n">
        <f aca="false">D125-D126-D128</f>
        <v>8.56166647475</v>
      </c>
      <c r="E129" s="18" t="n">
        <f aca="false">E125-E126-E128</f>
        <v>12.3954778285704</v>
      </c>
      <c r="F129" s="18" t="n">
        <f aca="false">F125-F126-F128</f>
        <v>20.2205677558718</v>
      </c>
    </row>
    <row r="130" customFormat="false" ht="15" hidden="false" customHeight="false" outlineLevel="0" collapsed="false">
      <c r="A130" s="10" t="s">
        <v>514</v>
      </c>
      <c r="B130" s="19" t="n">
        <f aca="false">IFERROR(B129/B119,0)</f>
        <v>0.0272033515119638</v>
      </c>
      <c r="C130" s="19" t="n">
        <f aca="false">IFERROR(C129/C119,0)</f>
        <v>0.0577859124215211</v>
      </c>
      <c r="D130" s="19" t="n">
        <f aca="false">IFERROR(D129/D119,0)</f>
        <v>0.0653815770264149</v>
      </c>
      <c r="E130" s="19" t="n">
        <f aca="false">IFERROR(E129/E119,0)</f>
        <v>0.0831590050329757</v>
      </c>
      <c r="F130" s="19" t="n">
        <f aca="false">IFERROR(F129/F119,0)</f>
        <v>0.116977284395337</v>
      </c>
    </row>
    <row r="131" customFormat="false" ht="15" hidden="false" customHeight="false" outlineLevel="0" collapsed="false">
      <c r="A131" s="10" t="s">
        <v>616</v>
      </c>
      <c r="B131" s="47" t="n">
        <f aca="false">Inputs!$B$58</f>
        <v>20</v>
      </c>
      <c r="C131" s="47" t="n">
        <f aca="false">C119*(Inputs!$C$149+(Inputs!$C$150-Inputs!$C$149)*0/3)</f>
        <v>19.9390416</v>
      </c>
      <c r="D131" s="47" t="n">
        <f aca="false">D119*(Inputs!$C$149+(Inputs!$C$150-Inputs!$C$149)*1/3)</f>
        <v>20.078880308</v>
      </c>
      <c r="E131" s="47" t="n">
        <f aca="false">E119*(Inputs!$C$149+(Inputs!$C$150-Inputs!$C$149)*2/3)</f>
        <v>20.37119895674</v>
      </c>
      <c r="F131" s="47" t="n">
        <f aca="false">F119*(Inputs!$C$149+(Inputs!$C$150-Inputs!$C$149)*3/3)</f>
        <v>20.7430711291272</v>
      </c>
    </row>
    <row r="132" customFormat="false" ht="15" hidden="false" customHeight="false" outlineLevel="0" collapsed="false">
      <c r="A132" s="10" t="s">
        <v>617</v>
      </c>
      <c r="B132" s="47" t="n">
        <f aca="false">Inputs!$B$58-Historicals!$C$78</f>
        <v>6.986</v>
      </c>
    </row>
    <row r="133" customFormat="false" ht="15" hidden="false" customHeight="false" outlineLevel="0" collapsed="false">
      <c r="A133" s="10" t="s">
        <v>618</v>
      </c>
      <c r="C133" s="48" t="n">
        <f aca="false">IFERROR(C131/C128,0)</f>
        <v>2.40081701056839</v>
      </c>
      <c r="D133" s="48" t="n">
        <f aca="false">IFERROR(D131/D128,0)</f>
        <v>2.07393021923025</v>
      </c>
      <c r="E133" s="48" t="n">
        <f aca="false">IFERROR(E131/E128,0)</f>
        <v>1.83772266649292</v>
      </c>
      <c r="F133" s="48" t="n">
        <f aca="false">IFERROR(F131/F128,0)</f>
        <v>1.65547272526629</v>
      </c>
    </row>
    <row r="134" customFormat="false" ht="15" hidden="false" customHeight="false" outlineLevel="0" collapsed="false">
      <c r="A134" s="10" t="s">
        <v>523</v>
      </c>
      <c r="B134" s="47" t="n">
        <f aca="false">B129-Inputs!$B$38*B131+Inputs!$B$38*B128</f>
        <v>-5.0032</v>
      </c>
      <c r="C134" s="47" t="n">
        <f aca="false">C129-Inputs!$B$38*C131+Inputs!$B$38*C128</f>
        <v>-0.202739066666667</v>
      </c>
      <c r="D134" s="47" t="n">
        <f aca="false">D129-Inputs!$B$38*D131+Inputs!$B$38*D128</f>
        <v>2.3232744215</v>
      </c>
      <c r="E134" s="47" t="n">
        <f aca="false">E129-Inputs!$B$38*E131+Inputs!$B$38*E128</f>
        <v>6.82377255850417</v>
      </c>
      <c r="F134" s="47" t="n">
        <f aca="false">F129-Inputs!$B$38*F131+Inputs!$B$38*F128</f>
        <v>15.2927243105932</v>
      </c>
    </row>
    <row r="135" customFormat="false" ht="15" hidden="false" customHeight="false" outlineLevel="0" collapsed="false">
      <c r="A135" s="10" t="s">
        <v>524</v>
      </c>
      <c r="B135" s="47" t="n">
        <f aca="false">MIN(0,MAX(0,B134),1E+099)</f>
        <v>0</v>
      </c>
      <c r="C135" s="47" t="n">
        <f aca="false">MIN(B137,MAX(0,C134),1E+099)</f>
        <v>0</v>
      </c>
      <c r="D135" s="47" t="n">
        <f aca="false">MIN(C137,MAX(0,D134),1E+099)</f>
        <v>2.3232744215</v>
      </c>
      <c r="E135" s="47" t="n">
        <f aca="false">MIN(D137,MAX(0,E134),1E+099)</f>
        <v>2.6799255785</v>
      </c>
      <c r="F135" s="47" t="n">
        <f aca="false">MIN(E137,MAX(0,F134),1E+099)</f>
        <v>0</v>
      </c>
    </row>
    <row r="136" customFormat="false" ht="15" hidden="false" customHeight="false" outlineLevel="0" collapsed="false">
      <c r="A136" s="10" t="s">
        <v>525</v>
      </c>
      <c r="B136" s="47" t="n">
        <f aca="false">MIN(0,MAX(0,B134)-B135)</f>
        <v>0</v>
      </c>
      <c r="C136" s="47" t="n">
        <f aca="false">MIN(B138,MAX(0,C134)-C135)</f>
        <v>0</v>
      </c>
      <c r="D136" s="47" t="n">
        <f aca="false">MIN(C138,MAX(0,D134)-D135)</f>
        <v>0</v>
      </c>
      <c r="E136" s="47" t="n">
        <f aca="false">MIN(D138,MAX(0,E134)-E135)</f>
        <v>0.202739066666667</v>
      </c>
      <c r="F136" s="47" t="n">
        <f aca="false">MIN(E138,MAX(0,F134)-F135)</f>
        <v>0</v>
      </c>
    </row>
    <row r="137" customFormat="false" ht="15" hidden="false" customHeight="false" outlineLevel="0" collapsed="false">
      <c r="A137" s="10" t="s">
        <v>526</v>
      </c>
      <c r="B137" s="47" t="n">
        <f aca="false">0-B135+MAX(0,-B134)</f>
        <v>5.0032</v>
      </c>
      <c r="C137" s="47" t="n">
        <f aca="false">B137-C135</f>
        <v>5.0032</v>
      </c>
      <c r="D137" s="47" t="n">
        <f aca="false">C137-D135</f>
        <v>2.6799255785</v>
      </c>
      <c r="E137" s="47" t="n">
        <f aca="false">D137-E135</f>
        <v>0</v>
      </c>
      <c r="F137" s="47" t="n">
        <f aca="false">E137-F135</f>
        <v>0</v>
      </c>
    </row>
    <row r="138" customFormat="false" ht="15" hidden="false" customHeight="false" outlineLevel="0" collapsed="false">
      <c r="A138" s="10" t="s">
        <v>527</v>
      </c>
      <c r="B138" s="26" t="n">
        <v>0</v>
      </c>
      <c r="C138" s="47" t="n">
        <f aca="false">B138-C136+MAX(0,-C134)</f>
        <v>0.202739066666667</v>
      </c>
      <c r="D138" s="47" t="n">
        <f aca="false">C138-D136+MAX(0,-D134)</f>
        <v>0.202739066666667</v>
      </c>
      <c r="E138" s="47" t="n">
        <f aca="false">D138-E136+MAX(0,-E134)</f>
        <v>0</v>
      </c>
      <c r="F138" s="47" t="n">
        <f aca="false">E138-F136+MAX(0,-F134)</f>
        <v>0</v>
      </c>
    </row>
    <row r="139" customFormat="false" ht="15" hidden="false" customHeight="false" outlineLevel="0" collapsed="false">
      <c r="A139" s="10" t="s">
        <v>528</v>
      </c>
      <c r="B139" s="47" t="n">
        <f aca="false">MAX(0,B134-B135-B136)*Inputs!$B$34</f>
        <v>0</v>
      </c>
      <c r="C139" s="47" t="n">
        <f aca="false">MAX(0,C134-C135-C136)*Inputs!$B$34</f>
        <v>0</v>
      </c>
      <c r="D139" s="47" t="n">
        <f aca="false">MAX(0,D134-D135-D136)*Inputs!$B$34</f>
        <v>0</v>
      </c>
      <c r="E139" s="47" t="n">
        <f aca="false">MAX(0,E134-E135-E136)*Inputs!$B$34</f>
        <v>0.1576443165335</v>
      </c>
      <c r="F139" s="47" t="n">
        <f aca="false">MAX(0,F134-F135-F136)*Inputs!$B$34</f>
        <v>0.611708972423729</v>
      </c>
    </row>
    <row r="140" customFormat="false" ht="15" hidden="false" customHeight="false" outlineLevel="0" collapsed="false">
      <c r="A140" s="10" t="s">
        <v>529</v>
      </c>
      <c r="B140" s="47" t="n">
        <f aca="false">B134-B139</f>
        <v>-5.0032</v>
      </c>
      <c r="C140" s="47" t="n">
        <f aca="false">C134-C139</f>
        <v>-0.202739066666667</v>
      </c>
      <c r="D140" s="47" t="n">
        <f aca="false">D134-D139</f>
        <v>2.3232744215</v>
      </c>
      <c r="E140" s="47" t="n">
        <f aca="false">E134-E139</f>
        <v>6.66612824197067</v>
      </c>
      <c r="F140" s="47" t="n">
        <f aca="false">F134-F139</f>
        <v>14.6810153381695</v>
      </c>
    </row>
    <row r="141" customFormat="false" ht="15" hidden="false" customHeight="false" outlineLevel="0" collapsed="false">
      <c r="A141" s="10" t="s">
        <v>530</v>
      </c>
      <c r="B141" s="47" t="n">
        <f aca="false">MIN(Inputs!$B$39,Inputs!$B$35*MAX(0,B140),1E+099)</f>
        <v>0</v>
      </c>
      <c r="C141" s="47" t="n">
        <f aca="false">MIN(B143,Inputs!$B$35*MAX(0,C140),1E+099)</f>
        <v>0</v>
      </c>
      <c r="D141" s="47" t="n">
        <f aca="false">MIN(C143,Inputs!$B$35*MAX(0,D140),1E+099)</f>
        <v>1.8586195372</v>
      </c>
      <c r="E141" s="47" t="n">
        <f aca="false">MIN(D143,Inputs!$B$35*MAX(0,E140),1E+099)</f>
        <v>3.1445804628</v>
      </c>
      <c r="F141" s="47" t="n">
        <f aca="false">MIN(E143,Inputs!$B$35*MAX(0,F140),1E+099)</f>
        <v>0</v>
      </c>
    </row>
    <row r="142" customFormat="false" ht="15" hidden="false" customHeight="false" outlineLevel="0" collapsed="false">
      <c r="A142" s="10" t="s">
        <v>531</v>
      </c>
      <c r="B142" s="47" t="n">
        <f aca="false">MIN(0,Inputs!$B$35*MAX(0,B140)-B141)</f>
        <v>0</v>
      </c>
      <c r="C142" s="47" t="n">
        <f aca="false">MIN(B144,Inputs!$B$35*MAX(0,C140)-C141)</f>
        <v>0</v>
      </c>
      <c r="D142" s="47" t="n">
        <f aca="false">MIN(C144,Inputs!$B$35*MAX(0,D140)-D141)</f>
        <v>0</v>
      </c>
      <c r="E142" s="47" t="n">
        <f aca="false">MIN(D144,Inputs!$B$35*MAX(0,E140)-E141)</f>
        <v>0.202739066666667</v>
      </c>
      <c r="F142" s="47" t="n">
        <f aca="false">MIN(E144,Inputs!$B$35*MAX(0,F140)-F141)</f>
        <v>0</v>
      </c>
    </row>
    <row r="143" customFormat="false" ht="15" hidden="false" customHeight="false" outlineLevel="0" collapsed="false">
      <c r="A143" s="10" t="s">
        <v>532</v>
      </c>
      <c r="B143" s="47" t="n">
        <f aca="false">Inputs!$B$39-B141+MAX(0,-B140)</f>
        <v>5.0032</v>
      </c>
      <c r="C143" s="47" t="n">
        <f aca="false">B143-C141</f>
        <v>5.0032</v>
      </c>
      <c r="D143" s="47" t="n">
        <f aca="false">C143-D141</f>
        <v>3.1445804628</v>
      </c>
      <c r="E143" s="47" t="n">
        <f aca="false">D143-E141</f>
        <v>0</v>
      </c>
      <c r="F143" s="47" t="n">
        <f aca="false">E143-F141</f>
        <v>0</v>
      </c>
    </row>
    <row r="144" customFormat="false" ht="15" hidden="false" customHeight="false" outlineLevel="0" collapsed="false">
      <c r="A144" s="10" t="s">
        <v>533</v>
      </c>
      <c r="B144" s="26" t="n">
        <v>0</v>
      </c>
      <c r="C144" s="47" t="n">
        <f aca="false">B144-C142+MAX(0,-C140)</f>
        <v>0.202739066666667</v>
      </c>
      <c r="D144" s="47" t="n">
        <f aca="false">C144-D142+MAX(0,-D140)</f>
        <v>0.202739066666667</v>
      </c>
      <c r="E144" s="47" t="n">
        <f aca="false">D144-E142+MAX(0,-E140)</f>
        <v>0</v>
      </c>
      <c r="F144" s="47" t="n">
        <f aca="false">E144-F142+MAX(0,-F140)</f>
        <v>0</v>
      </c>
    </row>
    <row r="145" customFormat="false" ht="15" hidden="false" customHeight="false" outlineLevel="0" collapsed="false">
      <c r="A145" s="10" t="s">
        <v>534</v>
      </c>
      <c r="B145" s="47" t="n">
        <f aca="false">MAX(0,B140-B141-B142)*Inputs!$B$33</f>
        <v>0</v>
      </c>
      <c r="C145" s="47" t="n">
        <f aca="false">MAX(0,C140-C141-C142)*Inputs!$B$33</f>
        <v>0</v>
      </c>
      <c r="D145" s="47" t="n">
        <f aca="false">MAX(0,D140-D141-D142)*Inputs!$B$33</f>
        <v>0.097577525703</v>
      </c>
      <c r="E145" s="47" t="n">
        <f aca="false">MAX(0,E140-E141-E142)*Inputs!$B$33</f>
        <v>0.69694982962584</v>
      </c>
      <c r="F145" s="47" t="n">
        <f aca="false">MAX(0,F140-F141-F142)*Inputs!$B$33</f>
        <v>3.0830132210156</v>
      </c>
    </row>
    <row r="146" customFormat="false" ht="15" hidden="false" customHeight="false" outlineLevel="0" collapsed="false">
      <c r="A146" s="10" t="s">
        <v>535</v>
      </c>
      <c r="B146" s="47" t="n">
        <f aca="false">MIN(0,B145,MAX(0,1E+099-B141)*Inputs!$B$33)</f>
        <v>0</v>
      </c>
      <c r="C146" s="47" t="n">
        <f aca="false">MIN(B147,C145,MAX(0,1E+099-C141)*Inputs!$B$33)</f>
        <v>0</v>
      </c>
      <c r="D146" s="47" t="n">
        <f aca="false">MIN(C147,D145,MAX(0,1E+099-D141)*Inputs!$B$33)</f>
        <v>0</v>
      </c>
      <c r="E146" s="47" t="n">
        <f aca="false">MIN(D147,E145,MAX(0,1E+099-E141)*Inputs!$B$33)</f>
        <v>0</v>
      </c>
      <c r="F146" s="47" t="n">
        <f aca="false">MIN(E147,F145,MAX(0,1E+099-F141)*Inputs!$B$33)</f>
        <v>0</v>
      </c>
    </row>
    <row r="147" customFormat="false" ht="15" hidden="false" customHeight="false" outlineLevel="0" collapsed="false">
      <c r="A147" s="10" t="s">
        <v>536</v>
      </c>
      <c r="B147" s="47" t="n">
        <f aca="false">0-B146</f>
        <v>0</v>
      </c>
      <c r="C147" s="47" t="n">
        <f aca="false">B147-C146</f>
        <v>0</v>
      </c>
      <c r="D147" s="47" t="n">
        <f aca="false">C147-D146</f>
        <v>0</v>
      </c>
      <c r="E147" s="47" t="n">
        <f aca="false">D147-E146</f>
        <v>0</v>
      </c>
      <c r="F147" s="47" t="n">
        <f aca="false">E147-F146</f>
        <v>0</v>
      </c>
    </row>
    <row r="148" customFormat="false" ht="15" hidden="false" customHeight="false" outlineLevel="0" collapsed="false">
      <c r="A148" s="13" t="s">
        <v>537</v>
      </c>
      <c r="B148" s="18" t="n">
        <f aca="false">MAX(0,(Inputs!$C$120+Inputs!$C$121+Inputs!$C$122)*Inputs!$C$123)*Inputs!$B$41</f>
        <v>0.13365</v>
      </c>
      <c r="C148" s="18" t="n">
        <f aca="false">C145-C146+C139</f>
        <v>0</v>
      </c>
      <c r="D148" s="18" t="n">
        <f aca="false">D145-D146+D139</f>
        <v>0.097577525703</v>
      </c>
      <c r="E148" s="18" t="n">
        <f aca="false">E145-E146+E139</f>
        <v>0.85459414615934</v>
      </c>
      <c r="F148" s="18" t="n">
        <f aca="false">F145-F146+F139</f>
        <v>3.69472219343933</v>
      </c>
    </row>
    <row r="149" customFormat="false" ht="15" hidden="false" customHeight="false" outlineLevel="0" collapsed="false">
      <c r="A149" s="10" t="s">
        <v>538</v>
      </c>
      <c r="B149" s="47" t="n">
        <f aca="false">0+Inputs!$B$38*(B131-B128)</f>
        <v>7.9512</v>
      </c>
      <c r="C149" s="47" t="n">
        <f aca="false">B149+Inputs!$B$38*(C131-C128)</f>
        <v>14.9315609</v>
      </c>
      <c r="D149" s="47" t="n">
        <f aca="false">C149+Inputs!$B$38*(D131-D128)</f>
        <v>21.16995295325</v>
      </c>
      <c r="E149" s="47" t="n">
        <f aca="false">D149+Inputs!$B$38*(E131-E128)</f>
        <v>26.7416582233163</v>
      </c>
      <c r="F149" s="47" t="n">
        <f aca="false">E149+Inputs!$B$38*(F131-F128)</f>
        <v>31.6695016685948</v>
      </c>
    </row>
    <row r="150" customFormat="false" ht="15" hidden="false" customHeight="false" outlineLevel="0" collapsed="false">
      <c r="A150" s="10" t="s">
        <v>539</v>
      </c>
      <c r="B150" s="47" t="n">
        <f aca="false">B149*Inputs!$B$79</f>
        <v>1.92100992</v>
      </c>
      <c r="C150" s="47" t="n">
        <f aca="false">C149*Inputs!$B$79</f>
        <v>3.60746511344</v>
      </c>
      <c r="D150" s="47" t="n">
        <f aca="false">D149*Inputs!$B$79</f>
        <v>5.1146606335052</v>
      </c>
      <c r="E150" s="47" t="n">
        <f aca="false">E149*Inputs!$B$79</f>
        <v>6.46078462675321</v>
      </c>
      <c r="F150" s="47" t="n">
        <f aca="false">F149*Inputs!$B$79</f>
        <v>7.6513516031325</v>
      </c>
    </row>
    <row r="151" customFormat="false" ht="15" hidden="false" customHeight="false" outlineLevel="0" collapsed="false">
      <c r="A151" s="10" t="s">
        <v>540</v>
      </c>
      <c r="C151" s="47" t="n">
        <f aca="false">C129-C148</f>
        <v>6.77762183333333</v>
      </c>
      <c r="D151" s="47" t="n">
        <f aca="false">D129-D148</f>
        <v>8.464088949047</v>
      </c>
      <c r="E151" s="47" t="n">
        <f aca="false">E129-E148</f>
        <v>11.5408836824111</v>
      </c>
      <c r="F151" s="47" t="n">
        <f aca="false">F129-F148</f>
        <v>16.5258455624325</v>
      </c>
    </row>
    <row r="152" customFormat="false" ht="15" hidden="false" customHeight="false" outlineLevel="0" collapsed="false">
      <c r="A152" s="10" t="s">
        <v>541</v>
      </c>
      <c r="C152" s="47" t="n">
        <f aca="false">Inputs!$B$65*(C119-B119)</f>
        <v>0</v>
      </c>
      <c r="D152" s="47" t="n">
        <f aca="false">Inputs!$B$65*(D119-C119)</f>
        <v>0</v>
      </c>
      <c r="E152" s="47" t="n">
        <f aca="false">Inputs!$B$65*(E119-D119)</f>
        <v>0</v>
      </c>
      <c r="F152" s="47" t="n">
        <f aca="false">Inputs!$B$65*(F119-E119)</f>
        <v>0</v>
      </c>
    </row>
    <row r="153" customFormat="false" ht="15" hidden="false" customHeight="false" outlineLevel="0" collapsed="false">
      <c r="A153" s="13" t="s">
        <v>542</v>
      </c>
      <c r="B153" s="18" t="n">
        <f aca="false">B154-B126</f>
        <v>-4.54165</v>
      </c>
      <c r="C153" s="18" t="n">
        <f aca="false">C129+C128-C148-C131-C152</f>
        <v>-4.856313</v>
      </c>
      <c r="D153" s="18" t="n">
        <f aca="false">D129+D128-D148-D131-D152</f>
        <v>-1.933231139703</v>
      </c>
      <c r="E153" s="18" t="n">
        <f aca="false">E129+E128-E148-E131-E152</f>
        <v>2.25470823230066</v>
      </c>
      <c r="F153" s="18" t="n">
        <f aca="false">F129+F128-F148-F131-F152</f>
        <v>8.31277315363487</v>
      </c>
    </row>
    <row r="154" customFormat="false" ht="15" hidden="false" customHeight="false" outlineLevel="0" collapsed="false">
      <c r="A154" s="10" t="s">
        <v>543</v>
      </c>
      <c r="B154" s="47" t="n">
        <f aca="false">(Inputs!$C$120+Inputs!$C$121+Inputs!$C$122)*Inputs!$C$123+Inputs!$B$53/4+B126-B148-B132</f>
        <v>-3.35365</v>
      </c>
      <c r="C154" s="47" t="n">
        <f aca="false">C153+C126+C127</f>
        <v>-0.1647738</v>
      </c>
      <c r="D154" s="47" t="n">
        <f aca="false">D153+D126+D127</f>
        <v>3.304737636297</v>
      </c>
      <c r="E154" s="47" t="n">
        <f aca="false">E153+E126+E127</f>
        <v>8.21701036598066</v>
      </c>
      <c r="F154" s="47" t="n">
        <f aca="false">F153+F126+F127</f>
        <v>15.2271301966773</v>
      </c>
    </row>
    <row r="155" customFormat="false" ht="15" hidden="false" customHeight="false" outlineLevel="0" collapsed="false">
      <c r="A155" s="10" t="s">
        <v>544</v>
      </c>
      <c r="B155" s="47" t="n">
        <f aca="false">Historicals!$B$87</f>
        <v>45.447</v>
      </c>
      <c r="C155" s="47" t="n">
        <f aca="false">B166</f>
        <v>42.3896884422111</v>
      </c>
      <c r="D155" s="47" t="n">
        <f aca="false">C166</f>
        <v>43.3687024602605</v>
      </c>
      <c r="E155" s="47" t="n">
        <f aca="false">D166</f>
        <v>47.9279940262885</v>
      </c>
      <c r="F155" s="47" t="n">
        <f aca="false">E166</f>
        <v>57.6859023191785</v>
      </c>
    </row>
    <row r="156" customFormat="false" ht="15" hidden="false" customHeight="false" outlineLevel="0" collapsed="false">
      <c r="A156" s="10" t="s">
        <v>545</v>
      </c>
      <c r="B156" s="47" t="n">
        <f aca="false">Historicals!$B$88</f>
        <v>9.523</v>
      </c>
      <c r="C156" s="47" t="n">
        <f aca="false">B167</f>
        <v>9.523</v>
      </c>
      <c r="D156" s="47" t="n">
        <f aca="false">C167</f>
        <v>9.523</v>
      </c>
      <c r="E156" s="47" t="n">
        <f aca="false">D167</f>
        <v>9.523</v>
      </c>
      <c r="F156" s="47" t="n">
        <f aca="false">E167</f>
        <v>9.523</v>
      </c>
    </row>
    <row r="157" customFormat="false" ht="15" hidden="false" customHeight="false" outlineLevel="0" collapsed="false">
      <c r="A157" s="10" t="s">
        <v>546</v>
      </c>
      <c r="B157" s="26" t="n">
        <v>0</v>
      </c>
      <c r="C157" s="47" t="n">
        <f aca="false">Inputs!$B$63</f>
        <v>0</v>
      </c>
      <c r="D157" s="26" t="n">
        <v>0</v>
      </c>
      <c r="E157" s="26" t="n">
        <v>0</v>
      </c>
      <c r="F157" s="26" t="n">
        <v>0</v>
      </c>
    </row>
    <row r="158" customFormat="false" ht="15" hidden="false" customHeight="false" outlineLevel="0" collapsed="false">
      <c r="A158" s="10" t="s">
        <v>547</v>
      </c>
      <c r="B158" s="47" t="n">
        <f aca="false">(B155+B154-B157+Inputs!$B$60/4*B155/2-Inputs!$B$61/4*(B156-B157/2))/(1-Inputs!$B$60/4/2)</f>
        <v>42.3896884422111</v>
      </c>
      <c r="C158" s="47" t="n">
        <f aca="false">(C155+C154-C157+Inputs!$B$60*C155/2-Inputs!$B$61*(C156-C157/2))/(1-Inputs!$B$60/2)</f>
        <v>43.3687024602605</v>
      </c>
      <c r="D158" s="47" t="n">
        <f aca="false">(D155+D154-D157+Inputs!$B$60*D155/2-Inputs!$B$61*(D156-D157/2))/(1-Inputs!$B$60/2)</f>
        <v>47.9279940262885</v>
      </c>
      <c r="E158" s="47" t="n">
        <f aca="false">(E155+E154-E157+Inputs!$B$60*E155/2-Inputs!$B$61*(E156-E157/2))/(1-Inputs!$B$60/2)</f>
        <v>57.6859023191785</v>
      </c>
      <c r="F158" s="47" t="n">
        <f aca="false">(F155+F154-F157+Inputs!$B$60*F155/2-Inputs!$B$61*(F156-F157/2))/(1-Inputs!$B$60/2)</f>
        <v>74.9952760839177</v>
      </c>
    </row>
    <row r="159" customFormat="false" ht="15" hidden="false" customHeight="false" outlineLevel="0" collapsed="false">
      <c r="A159" s="10" t="s">
        <v>548</v>
      </c>
      <c r="B159" s="47" t="n">
        <f aca="false">IF(B158&gt;=Inputs!$B$67,0,(Inputs!$B$67-B155-B154+B157-Inputs!$B$60/4*(B155+Inputs!$B$67)/2+Inputs!$B$61/4*(B156-B157/2))/(1-Inputs!$B$61/4*Inputs!$B$69/(2*(1-Inputs!$B$70))))</f>
        <v>0</v>
      </c>
      <c r="C159" s="47" t="n">
        <f aca="false">IF(C158&gt;=Inputs!$B$67,0,(Inputs!$B$67-C155-C154+C157-Inputs!$B$60*(C155+Inputs!$B$67)/2+Inputs!$B$61*(C156-C157/2))/(1-Inputs!$B$61*Inputs!$B$69/(2*(1-Inputs!$B$70))))</f>
        <v>0</v>
      </c>
      <c r="D159" s="47" t="n">
        <f aca="false">IF(D158&gt;=Inputs!$B$67,0,(Inputs!$B$67-D155-D154+D157-Inputs!$B$60*(D155+Inputs!$B$67)/2+Inputs!$B$61*(D156-D157/2))/(1-Inputs!$B$61*Inputs!$B$69/(2*(1-Inputs!$B$70))))</f>
        <v>0</v>
      </c>
      <c r="E159" s="47" t="n">
        <f aca="false">IF(E158&gt;=Inputs!$B$67,0,(Inputs!$B$67-E155-E154+E157-Inputs!$B$60*(E155+Inputs!$B$67)/2+Inputs!$B$61*(E156-E157/2))/(1-Inputs!$B$61*Inputs!$B$69/(2*(1-Inputs!$B$70))))</f>
        <v>0</v>
      </c>
      <c r="F159" s="47" t="n">
        <f aca="false">IF(F158&gt;=Inputs!$B$67,0,(Inputs!$B$67-F155-F154+F157-Inputs!$B$60*(F155+Inputs!$B$67)/2+Inputs!$B$61*(F156-F157/2))/(1-Inputs!$B$61*Inputs!$B$69/(2*(1-Inputs!$B$70))))</f>
        <v>0</v>
      </c>
    </row>
    <row r="160" customFormat="false" ht="15" hidden="false" customHeight="false" outlineLevel="0" collapsed="false">
      <c r="A160" s="10" t="s">
        <v>549</v>
      </c>
      <c r="B160" s="47" t="n">
        <f aca="false">B159/(1-Inputs!$B$70)</f>
        <v>0</v>
      </c>
      <c r="C160" s="47" t="n">
        <f aca="false">C159/(1-Inputs!$B$70)</f>
        <v>0</v>
      </c>
      <c r="D160" s="47" t="n">
        <f aca="false">D159/(1-Inputs!$B$70)</f>
        <v>0</v>
      </c>
      <c r="E160" s="47" t="n">
        <f aca="false">E159/(1-Inputs!$B$70)</f>
        <v>0</v>
      </c>
      <c r="F160" s="47" t="n">
        <f aca="false">F159/(1-Inputs!$B$70)</f>
        <v>0</v>
      </c>
    </row>
    <row r="161" customFormat="false" ht="15" hidden="false" customHeight="false" outlineLevel="0" collapsed="false">
      <c r="A161" s="10" t="s">
        <v>550</v>
      </c>
      <c r="B161" s="47" t="n">
        <f aca="false">B160*Inputs!$B$69</f>
        <v>0</v>
      </c>
      <c r="C161" s="47" t="n">
        <f aca="false">C160*Inputs!$B$69</f>
        <v>0</v>
      </c>
      <c r="D161" s="47" t="n">
        <f aca="false">D160*Inputs!$B$69</f>
        <v>0</v>
      </c>
      <c r="E161" s="47" t="n">
        <f aca="false">E160*Inputs!$B$69</f>
        <v>0</v>
      </c>
      <c r="F161" s="47" t="n">
        <f aca="false">F160*Inputs!$B$69</f>
        <v>0</v>
      </c>
    </row>
    <row r="162" customFormat="false" ht="15" hidden="false" customHeight="false" outlineLevel="0" collapsed="false">
      <c r="A162" s="10" t="s">
        <v>551</v>
      </c>
      <c r="B162" s="47" t="n">
        <f aca="false">B160-B161</f>
        <v>0</v>
      </c>
      <c r="C162" s="47" t="n">
        <f aca="false">C160-C161</f>
        <v>0</v>
      </c>
      <c r="D162" s="47" t="n">
        <f aca="false">D160-D161</f>
        <v>0</v>
      </c>
      <c r="E162" s="47" t="n">
        <f aca="false">E160-E161</f>
        <v>0</v>
      </c>
      <c r="F162" s="47" t="n">
        <f aca="false">F160-F161</f>
        <v>0</v>
      </c>
    </row>
    <row r="163" customFormat="false" ht="15" hidden="false" customHeight="false" outlineLevel="0" collapsed="false">
      <c r="A163" s="10" t="s">
        <v>552</v>
      </c>
      <c r="B163" s="47" t="n">
        <f aca="false">B160-B159</f>
        <v>0</v>
      </c>
      <c r="C163" s="47" t="n">
        <f aca="false">C160-C159</f>
        <v>0</v>
      </c>
      <c r="D163" s="47" t="n">
        <f aca="false">D160-D159</f>
        <v>0</v>
      </c>
      <c r="E163" s="47" t="n">
        <f aca="false">E160-E159</f>
        <v>0</v>
      </c>
      <c r="F163" s="47" t="n">
        <f aca="false">F160-F159</f>
        <v>0</v>
      </c>
    </row>
    <row r="164" customFormat="false" ht="15" hidden="false" customHeight="false" outlineLevel="0" collapsed="false">
      <c r="A164" s="10" t="s">
        <v>553</v>
      </c>
      <c r="B164" s="47" t="n">
        <f aca="false">Inputs!$B$60/4*(B155+B166)/2</f>
        <v>0.439183442211055</v>
      </c>
      <c r="C164" s="47" t="n">
        <f aca="false">Inputs!$B$60*(C155+C166)/2</f>
        <v>1.71516781804943</v>
      </c>
      <c r="D164" s="47" t="n">
        <f aca="false">Inputs!$B$60*(D155+D166)/2</f>
        <v>1.82593392973098</v>
      </c>
      <c r="E164" s="47" t="n">
        <f aca="false">Inputs!$B$60*(E155+E166)/2</f>
        <v>2.11227792690934</v>
      </c>
      <c r="F164" s="47" t="n">
        <f aca="false">Inputs!$B$60*(F155+F166)/2</f>
        <v>2.65362356806192</v>
      </c>
    </row>
    <row r="165" customFormat="false" ht="15" hidden="false" customHeight="false" outlineLevel="0" collapsed="false">
      <c r="A165" s="10" t="s">
        <v>554</v>
      </c>
      <c r="B165" s="47" t="n">
        <f aca="false">Inputs!$B$61/4*(B156-B157/2+B161/2)</f>
        <v>0.142845</v>
      </c>
      <c r="C165" s="47" t="n">
        <f aca="false">Inputs!$B$61*(C156-C157/2+C161/2)</f>
        <v>0.57138</v>
      </c>
      <c r="D165" s="47" t="n">
        <f aca="false">Inputs!$B$61*(D156-D157/2+D161/2)</f>
        <v>0.57138</v>
      </c>
      <c r="E165" s="47" t="n">
        <f aca="false">Inputs!$B$61*(E156-E157/2+E161/2)</f>
        <v>0.57138</v>
      </c>
      <c r="F165" s="47" t="n">
        <f aca="false">Inputs!$B$61*(F156-F157/2+F161/2)</f>
        <v>0.57138</v>
      </c>
    </row>
    <row r="166" customFormat="false" ht="15" hidden="false" customHeight="false" outlineLevel="0" collapsed="false">
      <c r="A166" s="13" t="s">
        <v>555</v>
      </c>
      <c r="B166" s="18" t="n">
        <f aca="false">IF(B159&gt;0,Inputs!$B$67,B158)</f>
        <v>42.3896884422111</v>
      </c>
      <c r="C166" s="18" t="n">
        <f aca="false">IF(C159&gt;0,Inputs!$B$67,C158)</f>
        <v>43.3687024602605</v>
      </c>
      <c r="D166" s="18" t="n">
        <f aca="false">IF(D159&gt;0,Inputs!$B$67,D158)</f>
        <v>47.9279940262885</v>
      </c>
      <c r="E166" s="18" t="n">
        <f aca="false">IF(E159&gt;0,Inputs!$B$67,E158)</f>
        <v>57.6859023191785</v>
      </c>
      <c r="F166" s="18" t="n">
        <f aca="false">IF(F159&gt;0,Inputs!$B$67,F158)</f>
        <v>74.9952760839177</v>
      </c>
    </row>
    <row r="167" customFormat="false" ht="15" hidden="false" customHeight="false" outlineLevel="0" collapsed="false">
      <c r="A167" s="10" t="s">
        <v>556</v>
      </c>
      <c r="B167" s="47" t="n">
        <f aca="false">B156-B157+B161</f>
        <v>9.523</v>
      </c>
      <c r="C167" s="47" t="n">
        <f aca="false">C156-C157+C161</f>
        <v>9.523</v>
      </c>
      <c r="D167" s="47" t="n">
        <f aca="false">D156-D157+D161</f>
        <v>9.523</v>
      </c>
      <c r="E167" s="47" t="n">
        <f aca="false">E156-E157+E161</f>
        <v>9.523</v>
      </c>
      <c r="F167" s="47" t="n">
        <f aca="false">F156-F157+F161</f>
        <v>9.523</v>
      </c>
    </row>
    <row r="168" customFormat="false" ht="15" hidden="false" customHeight="false" outlineLevel="0" collapsed="false">
      <c r="A168" s="13" t="s">
        <v>557</v>
      </c>
      <c r="B168" s="18" t="n">
        <f aca="false">B166-B167</f>
        <v>32.8666884422111</v>
      </c>
      <c r="C168" s="18" t="n">
        <f aca="false">C166-C167</f>
        <v>33.8457024602605</v>
      </c>
      <c r="D168" s="18" t="n">
        <f aca="false">D166-D167</f>
        <v>38.4049940262885</v>
      </c>
      <c r="E168" s="18" t="n">
        <f aca="false">E166-E167</f>
        <v>48.1629023191785</v>
      </c>
      <c r="F168" s="18" t="n">
        <f aca="false">F166-F167</f>
        <v>65.4722760839177</v>
      </c>
    </row>
    <row r="169" customFormat="false" ht="15" hidden="false" customHeight="false" outlineLevel="0" collapsed="false">
      <c r="A169" s="10" t="s">
        <v>558</v>
      </c>
      <c r="B169" s="33" t="n">
        <f aca="false">ROUND(B155+B154-B157+B164-B165+B159-B166,6)</f>
        <v>0</v>
      </c>
      <c r="C169" s="33" t="n">
        <f aca="false">ROUND(C155+C154-C157+C164-C165+C159-C166,6)</f>
        <v>0</v>
      </c>
      <c r="D169" s="33" t="n">
        <f aca="false">ROUND(D155+D154-D157+D164-D165+D159-D166,6)</f>
        <v>0</v>
      </c>
      <c r="E169" s="33" t="n">
        <f aca="false">ROUND(E155+E154-E157+E164-E165+E159-E166,6)</f>
        <v>0</v>
      </c>
      <c r="F169" s="33" t="n">
        <f aca="false">ROUND(F155+F154-F157+F164-F165+F159-F166,6)</f>
        <v>0</v>
      </c>
    </row>
    <row r="170" customFormat="false" ht="15" hidden="false" customHeight="false" outlineLevel="0" collapsed="false">
      <c r="A170" s="10" t="s">
        <v>559</v>
      </c>
      <c r="B170" s="47" t="n">
        <f aca="false">B160</f>
        <v>0</v>
      </c>
      <c r="C170" s="47" t="n">
        <f aca="false">B170+C160</f>
        <v>0</v>
      </c>
      <c r="D170" s="47" t="n">
        <f aca="false">C170+D160</f>
        <v>0</v>
      </c>
      <c r="E170" s="47" t="n">
        <f aca="false">D170+E160</f>
        <v>0</v>
      </c>
      <c r="F170" s="47" t="n">
        <f aca="false">E170+F160</f>
        <v>0</v>
      </c>
    </row>
    <row r="171" customFormat="false" ht="15" hidden="false" customHeight="false" outlineLevel="0" collapsed="false">
      <c r="A171" s="10" t="s">
        <v>560</v>
      </c>
      <c r="B171" s="49" t="str">
        <f aca="false">IF(B170&gt;Inputs!$B$73,"UNFUNDED: above limit",IF(B160&gt;0,"Raising","OK"))</f>
        <v>OK</v>
      </c>
      <c r="C171" s="49" t="str">
        <f aca="false">IF(C170&gt;Inputs!$B$73,"UNFUNDED: above limit",IF(C160&gt;0,"Raising","OK"))</f>
        <v>OK</v>
      </c>
      <c r="D171" s="49" t="str">
        <f aca="false">IF(D170&gt;Inputs!$B$73,"UNFUNDED: above limit",IF(D160&gt;0,"Raising","OK"))</f>
        <v>OK</v>
      </c>
      <c r="E171" s="49" t="str">
        <f aca="false">IF(E170&gt;Inputs!$B$73,"UNFUNDED: above limit",IF(E160&gt;0,"Raising","OK"))</f>
        <v>OK</v>
      </c>
      <c r="F171" s="49" t="str">
        <f aca="false">IF(F170&gt;Inputs!$B$73,"UNFUNDED: above limit",IF(F160&gt;0,"Raising","OK"))</f>
        <v>OK</v>
      </c>
    </row>
    <row r="172" customFormat="false" ht="15" hidden="false" customHeight="false" outlineLevel="0" collapsed="false">
      <c r="A172" s="10" t="s">
        <v>561</v>
      </c>
      <c r="B172" s="47" t="n">
        <f aca="false">$F$129</f>
        <v>20.2205677558718</v>
      </c>
    </row>
    <row r="173" customFormat="false" ht="15" hidden="false" customHeight="false" outlineLevel="0" collapsed="false">
      <c r="A173" s="10" t="s">
        <v>562</v>
      </c>
      <c r="B173" s="19" t="n">
        <f aca="false">IF(Inputs!$B$8=1,Inputs!$B$79,IFERROR($F$148/$F$129,0))</f>
        <v>0.2416</v>
      </c>
    </row>
    <row r="174" customFormat="false" ht="15" hidden="false" customHeight="false" outlineLevel="0" collapsed="false">
      <c r="A174" s="10" t="s">
        <v>563</v>
      </c>
      <c r="B174" s="47" t="n">
        <f aca="false">$B$172*(1-$B$173)</f>
        <v>15.3352785860532</v>
      </c>
    </row>
    <row r="175" customFormat="false" ht="15" hidden="false" customHeight="false" outlineLevel="0" collapsed="false">
      <c r="A175" s="10" t="s">
        <v>564</v>
      </c>
      <c r="B175" s="50" t="n">
        <f aca="false">Inputs!$C$152</f>
        <v>40</v>
      </c>
    </row>
    <row r="176" customFormat="false" ht="15" hidden="false" customHeight="false" outlineLevel="0" collapsed="false">
      <c r="A176" s="10" t="s">
        <v>565</v>
      </c>
      <c r="B176" s="47" t="n">
        <f aca="false">$B$174*$B$175*$F$527</f>
        <v>404.07292007103</v>
      </c>
    </row>
    <row r="177" customFormat="false" ht="15" hidden="false" customHeight="false" outlineLevel="0" collapsed="false">
      <c r="A177" s="10" t="s">
        <v>566</v>
      </c>
      <c r="B177" s="47" t="n">
        <f aca="false">SUMPRODUCT($C$153:$F$153,$C$527:$F$527)</f>
        <v>1.18039386576117</v>
      </c>
    </row>
    <row r="178" customFormat="false" ht="15" hidden="false" customHeight="false" outlineLevel="0" collapsed="false">
      <c r="A178" s="10" t="s">
        <v>567</v>
      </c>
      <c r="B178" s="18" t="n">
        <f aca="false">$B$176+$B$177</f>
        <v>405.253313936792</v>
      </c>
    </row>
    <row r="179" customFormat="false" ht="15" hidden="false" customHeight="false" outlineLevel="0" collapsed="false">
      <c r="A179" s="10" t="s">
        <v>568</v>
      </c>
      <c r="B179" s="47" t="n">
        <f aca="false">$B$174+$F$128-$F$131-$F$152</f>
        <v>7.12220617725558</v>
      </c>
    </row>
    <row r="180" customFormat="false" ht="15" hidden="false" customHeight="false" outlineLevel="0" collapsed="false">
      <c r="A180" s="10" t="s">
        <v>569</v>
      </c>
      <c r="B180" s="50" t="n">
        <f aca="false">Inputs!$C$153</f>
        <v>32</v>
      </c>
    </row>
    <row r="181" customFormat="false" ht="15" hidden="false" customHeight="false" outlineLevel="0" collapsed="false">
      <c r="A181" s="10" t="s">
        <v>570</v>
      </c>
      <c r="B181" s="47" t="n">
        <f aca="false">$B$179*$B$180*$F$527</f>
        <v>150.131770022563</v>
      </c>
    </row>
    <row r="182" customFormat="false" ht="15" hidden="false" customHeight="false" outlineLevel="0" collapsed="false">
      <c r="A182" s="10" t="s">
        <v>571</v>
      </c>
      <c r="B182" s="18" t="n">
        <f aca="false">$B$177+$B$181</f>
        <v>151.312163888325</v>
      </c>
    </row>
    <row r="183" customFormat="false" ht="15" hidden="false" customHeight="false" outlineLevel="0" collapsed="false">
      <c r="A183" s="13" t="s">
        <v>572</v>
      </c>
      <c r="B183" s="18" t="n">
        <f aca="false">$B$178*Inputs!$B$7+$B$182*(1-Inputs!$B$7)</f>
        <v>278.282738912558</v>
      </c>
    </row>
    <row r="184" customFormat="false" ht="15" hidden="false" customHeight="false" outlineLevel="0" collapsed="false">
      <c r="A184" s="10" t="s">
        <v>573</v>
      </c>
      <c r="B184" s="47" t="n">
        <f aca="false">MAX(0,$F$134)</f>
        <v>15.2927243105932</v>
      </c>
      <c r="H184" s="51" t="n">
        <v>1</v>
      </c>
      <c r="I184" s="51" t="n">
        <v>2</v>
      </c>
      <c r="J184" s="51" t="n">
        <v>3</v>
      </c>
      <c r="K184" s="51" t="n">
        <v>4</v>
      </c>
      <c r="L184" s="51" t="n">
        <v>5</v>
      </c>
      <c r="M184" s="51" t="n">
        <v>6</v>
      </c>
      <c r="N184" s="51" t="n">
        <v>7</v>
      </c>
      <c r="O184" s="51" t="n">
        <v>8</v>
      </c>
      <c r="P184" s="51" t="n">
        <v>9</v>
      </c>
      <c r="Q184" s="51" t="n">
        <v>10</v>
      </c>
      <c r="R184" s="51" t="n">
        <v>11</v>
      </c>
      <c r="S184" s="51" t="n">
        <v>12</v>
      </c>
      <c r="T184" s="51" t="n">
        <v>13</v>
      </c>
      <c r="U184" s="51" t="n">
        <v>14</v>
      </c>
      <c r="V184" s="51" t="n">
        <v>15</v>
      </c>
      <c r="W184" s="51" t="n">
        <v>16</v>
      </c>
      <c r="X184" s="51" t="n">
        <v>17</v>
      </c>
      <c r="Y184" s="51" t="n">
        <v>18</v>
      </c>
      <c r="Z184" s="51" t="n">
        <v>19</v>
      </c>
      <c r="AA184" s="51" t="n">
        <v>20</v>
      </c>
      <c r="AB184" s="51" t="n">
        <v>21</v>
      </c>
      <c r="AC184" s="51" t="n">
        <v>22</v>
      </c>
      <c r="AD184" s="51" t="n">
        <v>23</v>
      </c>
      <c r="AE184" s="51" t="n">
        <v>24</v>
      </c>
      <c r="AF184" s="51" t="n">
        <v>25</v>
      </c>
      <c r="AG184" s="51" t="n">
        <v>26</v>
      </c>
      <c r="AH184" s="51" t="n">
        <v>27</v>
      </c>
      <c r="AI184" s="51" t="n">
        <v>28</v>
      </c>
      <c r="AJ184" s="51" t="n">
        <v>29</v>
      </c>
      <c r="AK184" s="51" t="n">
        <v>30</v>
      </c>
    </row>
    <row r="185" customFormat="false" ht="15" hidden="false" customHeight="false" outlineLevel="0" collapsed="false">
      <c r="A185" s="10" t="s">
        <v>574</v>
      </c>
      <c r="H185" s="25" t="n">
        <f aca="false">1/(1+Inputs!$B$6)^1</f>
        <v>0.900900900900901</v>
      </c>
      <c r="I185" s="25" t="n">
        <f aca="false">1/(1+Inputs!$B$6)^2</f>
        <v>0.811622433244055</v>
      </c>
      <c r="J185" s="25" t="n">
        <f aca="false">1/(1+Inputs!$B$6)^3</f>
        <v>0.73119138130095</v>
      </c>
      <c r="K185" s="25" t="n">
        <f aca="false">1/(1+Inputs!$B$6)^4</f>
        <v>0.658730974145</v>
      </c>
      <c r="L185" s="25" t="n">
        <f aca="false">1/(1+Inputs!$B$6)^5</f>
        <v>0.593451328058559</v>
      </c>
      <c r="M185" s="25" t="n">
        <f aca="false">1/(1+Inputs!$B$6)^6</f>
        <v>0.534640836088791</v>
      </c>
      <c r="N185" s="25" t="n">
        <f aca="false">1/(1+Inputs!$B$6)^7</f>
        <v>0.481658410890803</v>
      </c>
      <c r="O185" s="25" t="n">
        <f aca="false">1/(1+Inputs!$B$6)^8</f>
        <v>0.433926496298021</v>
      </c>
      <c r="P185" s="25" t="n">
        <f aca="false">1/(1+Inputs!$B$6)^9</f>
        <v>0.390924771439658</v>
      </c>
      <c r="Q185" s="25" t="n">
        <f aca="false">1/(1+Inputs!$B$6)^10</f>
        <v>0.352184478774467</v>
      </c>
      <c r="R185" s="25" t="n">
        <f aca="false">1/(1+Inputs!$B$6)^11</f>
        <v>0.317283314211231</v>
      </c>
      <c r="S185" s="25" t="n">
        <f aca="false">1/(1+Inputs!$B$6)^12</f>
        <v>0.285840823613722</v>
      </c>
      <c r="T185" s="25" t="n">
        <f aca="false">1/(1+Inputs!$B$6)^13</f>
        <v>0.257514255507858</v>
      </c>
      <c r="U185" s="25" t="n">
        <f aca="false">1/(1+Inputs!$B$6)^14</f>
        <v>0.231994824781854</v>
      </c>
      <c r="V185" s="25" t="n">
        <f aca="false">1/(1+Inputs!$B$6)^15</f>
        <v>0.209004346650319</v>
      </c>
      <c r="W185" s="25" t="n">
        <f aca="false">1/(1+Inputs!$B$6)^16</f>
        <v>0.188292204189476</v>
      </c>
      <c r="X185" s="25" t="n">
        <f aca="false">1/(1+Inputs!$B$6)^17</f>
        <v>0.169632616386915</v>
      </c>
      <c r="Y185" s="25" t="n">
        <f aca="false">1/(1+Inputs!$B$6)^18</f>
        <v>0.152822176925149</v>
      </c>
      <c r="Z185" s="25" t="n">
        <f aca="false">1/(1+Inputs!$B$6)^19</f>
        <v>0.137677636869504</v>
      </c>
      <c r="AA185" s="25" t="n">
        <f aca="false">1/(1+Inputs!$B$6)^20</f>
        <v>0.124033907089643</v>
      </c>
      <c r="AB185" s="25" t="n">
        <f aca="false">1/(1+Inputs!$B$6)^21</f>
        <v>0.111742258639318</v>
      </c>
      <c r="AC185" s="25" t="n">
        <f aca="false">1/(1+Inputs!$B$6)^22</f>
        <v>0.100668701476863</v>
      </c>
      <c r="AD185" s="25" t="n">
        <f aca="false">1/(1+Inputs!$B$6)^23</f>
        <v>0.0906925238530297</v>
      </c>
      <c r="AE185" s="25" t="n">
        <f aca="false">1/(1+Inputs!$B$6)^24</f>
        <v>0.0817049764441709</v>
      </c>
      <c r="AF185" s="25" t="n">
        <f aca="false">1/(1+Inputs!$B$6)^25</f>
        <v>0.0736080868866405</v>
      </c>
      <c r="AG185" s="25" t="n">
        <f aca="false">1/(1+Inputs!$B$6)^26</f>
        <v>0.0663135917897662</v>
      </c>
      <c r="AH185" s="25" t="n">
        <f aca="false">1/(1+Inputs!$B$6)^27</f>
        <v>0.0597419745853749</v>
      </c>
      <c r="AI185" s="25" t="n">
        <f aca="false">1/(1+Inputs!$B$6)^28</f>
        <v>0.053821598725563</v>
      </c>
      <c r="AJ185" s="25" t="n">
        <f aca="false">1/(1+Inputs!$B$6)^29</f>
        <v>0.0484879267797865</v>
      </c>
      <c r="AK185" s="25" t="n">
        <f aca="false">1/(1+Inputs!$B$6)^30</f>
        <v>0.0436828169187266</v>
      </c>
    </row>
    <row r="186" customFormat="false" ht="15" hidden="false" customHeight="false" outlineLevel="0" collapsed="false">
      <c r="A186" s="10" t="s">
        <v>575</v>
      </c>
      <c r="G186" s="47" t="n">
        <f aca="false">$F$137</f>
        <v>0</v>
      </c>
      <c r="H186" s="47" t="n">
        <f aca="false">G186</f>
        <v>0</v>
      </c>
      <c r="I186" s="47" t="n">
        <f aca="false">H186-H187</f>
        <v>0</v>
      </c>
      <c r="J186" s="47" t="n">
        <f aca="false">I186-I187</f>
        <v>0</v>
      </c>
      <c r="K186" s="47" t="n">
        <f aca="false">J186-J187</f>
        <v>0</v>
      </c>
      <c r="L186" s="47" t="n">
        <f aca="false">K186-K187</f>
        <v>0</v>
      </c>
      <c r="M186" s="47" t="n">
        <f aca="false">L186-L187</f>
        <v>0</v>
      </c>
      <c r="N186" s="47" t="n">
        <f aca="false">M186-M187</f>
        <v>0</v>
      </c>
      <c r="O186" s="47" t="n">
        <f aca="false">N186-N187</f>
        <v>0</v>
      </c>
      <c r="P186" s="47" t="n">
        <f aca="false">O186-O187</f>
        <v>0</v>
      </c>
      <c r="Q186" s="47" t="n">
        <f aca="false">P186-P187</f>
        <v>0</v>
      </c>
      <c r="R186" s="47" t="n">
        <f aca="false">Q186-Q187</f>
        <v>0</v>
      </c>
      <c r="S186" s="47" t="n">
        <f aca="false">R186-R187</f>
        <v>0</v>
      </c>
      <c r="T186" s="47" t="n">
        <f aca="false">S186-S187</f>
        <v>0</v>
      </c>
      <c r="U186" s="47" t="n">
        <f aca="false">T186-T187</f>
        <v>0</v>
      </c>
      <c r="V186" s="47" t="n">
        <f aca="false">U186-U187</f>
        <v>0</v>
      </c>
      <c r="W186" s="47" t="n">
        <f aca="false">V186-V187</f>
        <v>0</v>
      </c>
      <c r="X186" s="47" t="n">
        <f aca="false">W186-W187</f>
        <v>0</v>
      </c>
      <c r="Y186" s="47" t="n">
        <f aca="false">X186-X187</f>
        <v>0</v>
      </c>
      <c r="Z186" s="47" t="n">
        <f aca="false">Y186-Y187</f>
        <v>0</v>
      </c>
      <c r="AA186" s="47" t="n">
        <f aca="false">Z186-Z187</f>
        <v>0</v>
      </c>
      <c r="AB186" s="47" t="n">
        <f aca="false">AA186-AA187</f>
        <v>0</v>
      </c>
      <c r="AC186" s="47" t="n">
        <f aca="false">AB186-AB187</f>
        <v>0</v>
      </c>
      <c r="AD186" s="47" t="n">
        <f aca="false">AC186-AC187</f>
        <v>0</v>
      </c>
      <c r="AE186" s="47" t="n">
        <f aca="false">AD186-AD187</f>
        <v>0</v>
      </c>
      <c r="AF186" s="47" t="n">
        <f aca="false">AE186-AE187</f>
        <v>0</v>
      </c>
      <c r="AG186" s="47" t="n">
        <f aca="false">AF186-AF187</f>
        <v>0</v>
      </c>
      <c r="AH186" s="47" t="n">
        <f aca="false">AG186-AG187</f>
        <v>0</v>
      </c>
      <c r="AI186" s="47" t="n">
        <f aca="false">AH186-AH187</f>
        <v>0</v>
      </c>
      <c r="AJ186" s="47" t="n">
        <f aca="false">AI186-AI187</f>
        <v>0</v>
      </c>
      <c r="AK186" s="47" t="n">
        <f aca="false">AJ186-AJ187</f>
        <v>0</v>
      </c>
    </row>
    <row r="187" customFormat="false" ht="15" hidden="false" customHeight="false" outlineLevel="0" collapsed="false">
      <c r="A187" s="10" t="s">
        <v>576</v>
      </c>
      <c r="H187" s="47" t="n">
        <f aca="false">IF(1&lt;=Inputs!$B$44,MIN(H186,$B$184,1E+099),0)</f>
        <v>0</v>
      </c>
      <c r="I187" s="47" t="n">
        <f aca="false">IF(2&lt;=Inputs!$B$44,MIN(I186,$B$184,1E+099),0)</f>
        <v>0</v>
      </c>
      <c r="J187" s="47" t="n">
        <f aca="false">IF(3&lt;=Inputs!$B$44,MIN(J186,$B$184,1E+099),0)</f>
        <v>0</v>
      </c>
      <c r="K187" s="47" t="n">
        <f aca="false">IF(4&lt;=Inputs!$B$44,MIN(K186,$B$184,1E+099),0)</f>
        <v>0</v>
      </c>
      <c r="L187" s="47" t="n">
        <f aca="false">IF(5&lt;=Inputs!$B$44,MIN(L186,$B$184,1E+099),0)</f>
        <v>0</v>
      </c>
      <c r="M187" s="47" t="n">
        <f aca="false">IF(6&lt;=Inputs!$B$44,MIN(M186,$B$184,1E+099),0)</f>
        <v>0</v>
      </c>
      <c r="N187" s="47" t="n">
        <f aca="false">IF(7&lt;=Inputs!$B$44,MIN(N186,$B$184,1E+099),0)</f>
        <v>0</v>
      </c>
      <c r="O187" s="47" t="n">
        <f aca="false">IF(8&lt;=Inputs!$B$44,MIN(O186,$B$184,1E+099),0)</f>
        <v>0</v>
      </c>
      <c r="P187" s="47" t="n">
        <f aca="false">IF(9&lt;=Inputs!$B$44,MIN(P186,$B$184,1E+099),0)</f>
        <v>0</v>
      </c>
      <c r="Q187" s="47" t="n">
        <f aca="false">IF(10&lt;=Inputs!$B$44,MIN(Q186,$B$184,1E+099),0)</f>
        <v>0</v>
      </c>
      <c r="R187" s="47" t="n">
        <f aca="false">IF(11&lt;=Inputs!$B$44,MIN(R186,$B$184,1E+099),0)</f>
        <v>0</v>
      </c>
      <c r="S187" s="47" t="n">
        <f aca="false">IF(12&lt;=Inputs!$B$44,MIN(S186,$B$184,1E+099),0)</f>
        <v>0</v>
      </c>
      <c r="T187" s="47" t="n">
        <f aca="false">IF(13&lt;=Inputs!$B$44,MIN(T186,$B$184,1E+099),0)</f>
        <v>0</v>
      </c>
      <c r="U187" s="47" t="n">
        <f aca="false">IF(14&lt;=Inputs!$B$44,MIN(U186,$B$184,1E+099),0)</f>
        <v>0</v>
      </c>
      <c r="V187" s="47" t="n">
        <f aca="false">IF(15&lt;=Inputs!$B$44,MIN(V186,$B$184,1E+099),0)</f>
        <v>0</v>
      </c>
      <c r="W187" s="47" t="n">
        <f aca="false">IF(16&lt;=Inputs!$B$44,MIN(W186,$B$184,1E+099),0)</f>
        <v>0</v>
      </c>
      <c r="X187" s="47" t="n">
        <f aca="false">IF(17&lt;=Inputs!$B$44,MIN(X186,$B$184,1E+099),0)</f>
        <v>0</v>
      </c>
      <c r="Y187" s="47" t="n">
        <f aca="false">IF(18&lt;=Inputs!$B$44,MIN(Y186,$B$184,1E+099),0)</f>
        <v>0</v>
      </c>
      <c r="Z187" s="47" t="n">
        <f aca="false">IF(19&lt;=Inputs!$B$44,MIN(Z186,$B$184,1E+099),0)</f>
        <v>0</v>
      </c>
      <c r="AA187" s="47" t="n">
        <f aca="false">IF(20&lt;=Inputs!$B$44,MIN(AA186,$B$184,1E+099),0)</f>
        <v>0</v>
      </c>
      <c r="AB187" s="47" t="n">
        <f aca="false">IF(21&lt;=Inputs!$B$44,MIN(AB186,$B$184,1E+099),0)</f>
        <v>0</v>
      </c>
      <c r="AC187" s="47" t="n">
        <f aca="false">IF(22&lt;=Inputs!$B$44,MIN(AC186,$B$184,1E+099),0)</f>
        <v>0</v>
      </c>
      <c r="AD187" s="47" t="n">
        <f aca="false">IF(23&lt;=Inputs!$B$44,MIN(AD186,$B$184,1E+099),0)</f>
        <v>0</v>
      </c>
      <c r="AE187" s="47" t="n">
        <f aca="false">IF(24&lt;=Inputs!$B$44,MIN(AE186,$B$184,1E+099),0)</f>
        <v>0</v>
      </c>
      <c r="AF187" s="47" t="n">
        <f aca="false">IF(25&lt;=Inputs!$B$44,MIN(AF186,$B$184,1E+099),0)</f>
        <v>0</v>
      </c>
      <c r="AG187" s="47" t="n">
        <f aca="false">IF(26&lt;=Inputs!$B$44,MIN(AG186,$B$184,1E+099),0)</f>
        <v>0</v>
      </c>
      <c r="AH187" s="47" t="n">
        <f aca="false">IF(27&lt;=Inputs!$B$44,MIN(AH186,$B$184,1E+099),0)</f>
        <v>0</v>
      </c>
      <c r="AI187" s="47" t="n">
        <f aca="false">IF(28&lt;=Inputs!$B$44,MIN(AI186,$B$184,1E+099),0)</f>
        <v>0</v>
      </c>
      <c r="AJ187" s="47" t="n">
        <f aca="false">IF(29&lt;=Inputs!$B$44,MIN(AJ186,$B$184,1E+099),0)</f>
        <v>0</v>
      </c>
      <c r="AK187" s="47" t="n">
        <f aca="false">IF(30&lt;=Inputs!$B$44,MIN(AK186,$B$184,1E+099),0)</f>
        <v>0</v>
      </c>
    </row>
    <row r="188" customFormat="false" ht="15" hidden="false" customHeight="false" outlineLevel="0" collapsed="false">
      <c r="A188" s="10" t="s">
        <v>577</v>
      </c>
      <c r="G188" s="47" t="n">
        <f aca="false">$F$138</f>
        <v>0</v>
      </c>
      <c r="H188" s="47" t="n">
        <f aca="false">G188</f>
        <v>0</v>
      </c>
      <c r="I188" s="47" t="n">
        <f aca="false">H188-H189</f>
        <v>0</v>
      </c>
      <c r="J188" s="47" t="n">
        <f aca="false">I188-I189</f>
        <v>0</v>
      </c>
      <c r="K188" s="47" t="n">
        <f aca="false">J188-J189</f>
        <v>0</v>
      </c>
      <c r="L188" s="47" t="n">
        <f aca="false">K188-K189</f>
        <v>0</v>
      </c>
      <c r="M188" s="47" t="n">
        <f aca="false">L188-L189</f>
        <v>0</v>
      </c>
      <c r="N188" s="47" t="n">
        <f aca="false">M188-M189</f>
        <v>0</v>
      </c>
      <c r="O188" s="47" t="n">
        <f aca="false">N188-N189</f>
        <v>0</v>
      </c>
      <c r="P188" s="47" t="n">
        <f aca="false">O188-O189</f>
        <v>0</v>
      </c>
      <c r="Q188" s="47" t="n">
        <f aca="false">P188-P189</f>
        <v>0</v>
      </c>
      <c r="R188" s="47" t="n">
        <f aca="false">Q188-Q189</f>
        <v>0</v>
      </c>
      <c r="S188" s="47" t="n">
        <f aca="false">R188-R189</f>
        <v>0</v>
      </c>
      <c r="T188" s="47" t="n">
        <f aca="false">S188-S189</f>
        <v>0</v>
      </c>
      <c r="U188" s="47" t="n">
        <f aca="false">T188-T189</f>
        <v>0</v>
      </c>
      <c r="V188" s="47" t="n">
        <f aca="false">U188-U189</f>
        <v>0</v>
      </c>
      <c r="W188" s="47" t="n">
        <f aca="false">V188-V189</f>
        <v>0</v>
      </c>
      <c r="X188" s="47" t="n">
        <f aca="false">W188-W189</f>
        <v>0</v>
      </c>
      <c r="Y188" s="47" t="n">
        <f aca="false">X188-X189</f>
        <v>0</v>
      </c>
      <c r="Z188" s="47" t="n">
        <f aca="false">Y188-Y189</f>
        <v>0</v>
      </c>
      <c r="AA188" s="47" t="n">
        <f aca="false">Z188-Z189</f>
        <v>0</v>
      </c>
      <c r="AB188" s="47" t="n">
        <f aca="false">AA188-AA189</f>
        <v>0</v>
      </c>
      <c r="AC188" s="47" t="n">
        <f aca="false">AB188-AB189</f>
        <v>0</v>
      </c>
      <c r="AD188" s="47" t="n">
        <f aca="false">AC188-AC189</f>
        <v>0</v>
      </c>
      <c r="AE188" s="47" t="n">
        <f aca="false">AD188-AD189</f>
        <v>0</v>
      </c>
      <c r="AF188" s="47" t="n">
        <f aca="false">AE188-AE189</f>
        <v>0</v>
      </c>
      <c r="AG188" s="47" t="n">
        <f aca="false">AF188-AF189</f>
        <v>0</v>
      </c>
      <c r="AH188" s="47" t="n">
        <f aca="false">AG188-AG189</f>
        <v>0</v>
      </c>
      <c r="AI188" s="47" t="n">
        <f aca="false">AH188-AH189</f>
        <v>0</v>
      </c>
      <c r="AJ188" s="47" t="n">
        <f aca="false">AI188-AI189</f>
        <v>0</v>
      </c>
      <c r="AK188" s="47" t="n">
        <f aca="false">AJ188-AJ189</f>
        <v>0</v>
      </c>
    </row>
    <row r="189" customFormat="false" ht="15" hidden="false" customHeight="false" outlineLevel="0" collapsed="false">
      <c r="A189" s="10" t="s">
        <v>576</v>
      </c>
      <c r="H189" s="47" t="n">
        <f aca="false">IF(1&lt;=Inputs!$B$44,MIN(H188,$B$184-H187),0)</f>
        <v>0</v>
      </c>
      <c r="I189" s="47" t="n">
        <f aca="false">IF(2&lt;=Inputs!$B$44,MIN(I188,$B$184-I187),0)</f>
        <v>0</v>
      </c>
      <c r="J189" s="47" t="n">
        <f aca="false">IF(3&lt;=Inputs!$B$44,MIN(J188,$B$184-J187),0)</f>
        <v>0</v>
      </c>
      <c r="K189" s="47" t="n">
        <f aca="false">IF(4&lt;=Inputs!$B$44,MIN(K188,$B$184-K187),0)</f>
        <v>0</v>
      </c>
      <c r="L189" s="47" t="n">
        <f aca="false">IF(5&lt;=Inputs!$B$44,MIN(L188,$B$184-L187),0)</f>
        <v>0</v>
      </c>
      <c r="M189" s="47" t="n">
        <f aca="false">IF(6&lt;=Inputs!$B$44,MIN(M188,$B$184-M187),0)</f>
        <v>0</v>
      </c>
      <c r="N189" s="47" t="n">
        <f aca="false">IF(7&lt;=Inputs!$B$44,MIN(N188,$B$184-N187),0)</f>
        <v>0</v>
      </c>
      <c r="O189" s="47" t="n">
        <f aca="false">IF(8&lt;=Inputs!$B$44,MIN(O188,$B$184-O187),0)</f>
        <v>0</v>
      </c>
      <c r="P189" s="47" t="n">
        <f aca="false">IF(9&lt;=Inputs!$B$44,MIN(P188,$B$184-P187),0)</f>
        <v>0</v>
      </c>
      <c r="Q189" s="47" t="n">
        <f aca="false">IF(10&lt;=Inputs!$B$44,MIN(Q188,$B$184-Q187),0)</f>
        <v>0</v>
      </c>
      <c r="R189" s="47" t="n">
        <f aca="false">IF(11&lt;=Inputs!$B$44,MIN(R188,$B$184-R187),0)</f>
        <v>0</v>
      </c>
      <c r="S189" s="47" t="n">
        <f aca="false">IF(12&lt;=Inputs!$B$44,MIN(S188,$B$184-S187),0)</f>
        <v>0</v>
      </c>
      <c r="T189" s="47" t="n">
        <f aca="false">IF(13&lt;=Inputs!$B$44,MIN(T188,$B$184-T187),0)</f>
        <v>0</v>
      </c>
      <c r="U189" s="47" t="n">
        <f aca="false">IF(14&lt;=Inputs!$B$44,MIN(U188,$B$184-U187),0)</f>
        <v>0</v>
      </c>
      <c r="V189" s="47" t="n">
        <f aca="false">IF(15&lt;=Inputs!$B$44,MIN(V188,$B$184-V187),0)</f>
        <v>0</v>
      </c>
      <c r="W189" s="47" t="n">
        <f aca="false">IF(16&lt;=Inputs!$B$44,MIN(W188,$B$184-W187),0)</f>
        <v>0</v>
      </c>
      <c r="X189" s="47" t="n">
        <f aca="false">IF(17&lt;=Inputs!$B$44,MIN(X188,$B$184-X187),0)</f>
        <v>0</v>
      </c>
      <c r="Y189" s="47" t="n">
        <f aca="false">IF(18&lt;=Inputs!$B$44,MIN(Y188,$B$184-Y187),0)</f>
        <v>0</v>
      </c>
      <c r="Z189" s="47" t="n">
        <f aca="false">IF(19&lt;=Inputs!$B$44,MIN(Z188,$B$184-Z187),0)</f>
        <v>0</v>
      </c>
      <c r="AA189" s="47" t="n">
        <f aca="false">IF(20&lt;=Inputs!$B$44,MIN(AA188,$B$184-AA187),0)</f>
        <v>0</v>
      </c>
      <c r="AB189" s="47" t="n">
        <f aca="false">IF(21&lt;=Inputs!$B$44,MIN(AB188,$B$184-AB187),0)</f>
        <v>0</v>
      </c>
      <c r="AC189" s="47" t="n">
        <f aca="false">IF(22&lt;=Inputs!$B$44,MIN(AC188,$B$184-AC187),0)</f>
        <v>0</v>
      </c>
      <c r="AD189" s="47" t="n">
        <f aca="false">IF(23&lt;=Inputs!$B$44,MIN(AD188,$B$184-AD187),0)</f>
        <v>0</v>
      </c>
      <c r="AE189" s="47" t="n">
        <f aca="false">IF(24&lt;=Inputs!$B$44,MIN(AE188,$B$184-AE187),0)</f>
        <v>0</v>
      </c>
      <c r="AF189" s="47" t="n">
        <f aca="false">IF(25&lt;=Inputs!$B$44,MIN(AF188,$B$184-AF187),0)</f>
        <v>0</v>
      </c>
      <c r="AG189" s="47" t="n">
        <f aca="false">IF(26&lt;=Inputs!$B$44,MIN(AG188,$B$184-AG187),0)</f>
        <v>0</v>
      </c>
      <c r="AH189" s="47" t="n">
        <f aca="false">IF(27&lt;=Inputs!$B$44,MIN(AH188,$B$184-AH187),0)</f>
        <v>0</v>
      </c>
      <c r="AI189" s="47" t="n">
        <f aca="false">IF(28&lt;=Inputs!$B$44,MIN(AI188,$B$184-AI187),0)</f>
        <v>0</v>
      </c>
      <c r="AJ189" s="47" t="n">
        <f aca="false">IF(29&lt;=Inputs!$B$44,MIN(AJ188,$B$184-AJ187),0)</f>
        <v>0</v>
      </c>
      <c r="AK189" s="47" t="n">
        <f aca="false">IF(30&lt;=Inputs!$B$44,MIN(AK188,$B$184-AK187),0)</f>
        <v>0</v>
      </c>
    </row>
    <row r="190" customFormat="false" ht="15" hidden="false" customHeight="false" outlineLevel="0" collapsed="false">
      <c r="A190" s="10" t="s">
        <v>578</v>
      </c>
      <c r="H190" s="47" t="n">
        <f aca="false">($B$184-H187-H189)*Inputs!$B$34</f>
        <v>0.611708972423729</v>
      </c>
      <c r="I190" s="47" t="n">
        <f aca="false">($B$184-I187-I189)*Inputs!$B$34</f>
        <v>0.611708972423729</v>
      </c>
      <c r="J190" s="47" t="n">
        <f aca="false">($B$184-J187-J189)*Inputs!$B$34</f>
        <v>0.611708972423729</v>
      </c>
      <c r="K190" s="47" t="n">
        <f aca="false">($B$184-K187-K189)*Inputs!$B$34</f>
        <v>0.611708972423729</v>
      </c>
      <c r="L190" s="47" t="n">
        <f aca="false">($B$184-L187-L189)*Inputs!$B$34</f>
        <v>0.611708972423729</v>
      </c>
      <c r="M190" s="47" t="n">
        <f aca="false">($B$184-M187-M189)*Inputs!$B$34</f>
        <v>0.611708972423729</v>
      </c>
      <c r="N190" s="47" t="n">
        <f aca="false">($B$184-N187-N189)*Inputs!$B$34</f>
        <v>0.611708972423729</v>
      </c>
      <c r="O190" s="47" t="n">
        <f aca="false">($B$184-O187-O189)*Inputs!$B$34</f>
        <v>0.611708972423729</v>
      </c>
      <c r="P190" s="47" t="n">
        <f aca="false">($B$184-P187-P189)*Inputs!$B$34</f>
        <v>0.611708972423729</v>
      </c>
      <c r="Q190" s="47" t="n">
        <f aca="false">($B$184-Q187-Q189)*Inputs!$B$34</f>
        <v>0.611708972423729</v>
      </c>
      <c r="R190" s="47" t="n">
        <f aca="false">($B$184-R187-R189)*Inputs!$B$34</f>
        <v>0.611708972423729</v>
      </c>
      <c r="S190" s="47" t="n">
        <f aca="false">($B$184-S187-S189)*Inputs!$B$34</f>
        <v>0.611708972423729</v>
      </c>
      <c r="T190" s="47" t="n">
        <f aca="false">($B$184-T187-T189)*Inputs!$B$34</f>
        <v>0.611708972423729</v>
      </c>
      <c r="U190" s="47" t="n">
        <f aca="false">($B$184-U187-U189)*Inputs!$B$34</f>
        <v>0.611708972423729</v>
      </c>
      <c r="V190" s="47" t="n">
        <f aca="false">($B$184-V187-V189)*Inputs!$B$34</f>
        <v>0.611708972423729</v>
      </c>
      <c r="W190" s="47" t="n">
        <f aca="false">($B$184-W187-W189)*Inputs!$B$34</f>
        <v>0.611708972423729</v>
      </c>
      <c r="X190" s="47" t="n">
        <f aca="false">($B$184-X187-X189)*Inputs!$B$34</f>
        <v>0.611708972423729</v>
      </c>
      <c r="Y190" s="47" t="n">
        <f aca="false">($B$184-Y187-Y189)*Inputs!$B$34</f>
        <v>0.611708972423729</v>
      </c>
      <c r="Z190" s="47" t="n">
        <f aca="false">($B$184-Z187-Z189)*Inputs!$B$34</f>
        <v>0.611708972423729</v>
      </c>
      <c r="AA190" s="47" t="n">
        <f aca="false">($B$184-AA187-AA189)*Inputs!$B$34</f>
        <v>0.611708972423729</v>
      </c>
      <c r="AB190" s="47" t="n">
        <f aca="false">($B$184-AB187-AB189)*Inputs!$B$34</f>
        <v>0.611708972423729</v>
      </c>
      <c r="AC190" s="47" t="n">
        <f aca="false">($B$184-AC187-AC189)*Inputs!$B$34</f>
        <v>0.611708972423729</v>
      </c>
      <c r="AD190" s="47" t="n">
        <f aca="false">($B$184-AD187-AD189)*Inputs!$B$34</f>
        <v>0.611708972423729</v>
      </c>
      <c r="AE190" s="47" t="n">
        <f aca="false">($B$184-AE187-AE189)*Inputs!$B$34</f>
        <v>0.611708972423729</v>
      </c>
      <c r="AF190" s="47" t="n">
        <f aca="false">($B$184-AF187-AF189)*Inputs!$B$34</f>
        <v>0.611708972423729</v>
      </c>
      <c r="AG190" s="47" t="n">
        <f aca="false">($B$184-AG187-AG189)*Inputs!$B$34</f>
        <v>0.611708972423729</v>
      </c>
      <c r="AH190" s="47" t="n">
        <f aca="false">($B$184-AH187-AH189)*Inputs!$B$34</f>
        <v>0.611708972423729</v>
      </c>
      <c r="AI190" s="47" t="n">
        <f aca="false">($B$184-AI187-AI189)*Inputs!$B$34</f>
        <v>0.611708972423729</v>
      </c>
      <c r="AJ190" s="47" t="n">
        <f aca="false">($B$184-AJ187-AJ189)*Inputs!$B$34</f>
        <v>0.611708972423729</v>
      </c>
      <c r="AK190" s="47" t="n">
        <f aca="false">($B$184-AK187-AK189)*Inputs!$B$34</f>
        <v>0.611708972423729</v>
      </c>
    </row>
    <row r="191" customFormat="false" ht="15" hidden="false" customHeight="false" outlineLevel="0" collapsed="false">
      <c r="A191" s="10" t="s">
        <v>579</v>
      </c>
      <c r="H191" s="47" t="n">
        <f aca="false">$B$184-H190</f>
        <v>14.6810153381695</v>
      </c>
      <c r="I191" s="47" t="n">
        <f aca="false">$B$184-I190</f>
        <v>14.6810153381695</v>
      </c>
      <c r="J191" s="47" t="n">
        <f aca="false">$B$184-J190</f>
        <v>14.6810153381695</v>
      </c>
      <c r="K191" s="47" t="n">
        <f aca="false">$B$184-K190</f>
        <v>14.6810153381695</v>
      </c>
      <c r="L191" s="47" t="n">
        <f aca="false">$B$184-L190</f>
        <v>14.6810153381695</v>
      </c>
      <c r="M191" s="47" t="n">
        <f aca="false">$B$184-M190</f>
        <v>14.6810153381695</v>
      </c>
      <c r="N191" s="47" t="n">
        <f aca="false">$B$184-N190</f>
        <v>14.6810153381695</v>
      </c>
      <c r="O191" s="47" t="n">
        <f aca="false">$B$184-O190</f>
        <v>14.6810153381695</v>
      </c>
      <c r="P191" s="47" t="n">
        <f aca="false">$B$184-P190</f>
        <v>14.6810153381695</v>
      </c>
      <c r="Q191" s="47" t="n">
        <f aca="false">$B$184-Q190</f>
        <v>14.6810153381695</v>
      </c>
      <c r="R191" s="47" t="n">
        <f aca="false">$B$184-R190</f>
        <v>14.6810153381695</v>
      </c>
      <c r="S191" s="47" t="n">
        <f aca="false">$B$184-S190</f>
        <v>14.6810153381695</v>
      </c>
      <c r="T191" s="47" t="n">
        <f aca="false">$B$184-T190</f>
        <v>14.6810153381695</v>
      </c>
      <c r="U191" s="47" t="n">
        <f aca="false">$B$184-U190</f>
        <v>14.6810153381695</v>
      </c>
      <c r="V191" s="47" t="n">
        <f aca="false">$B$184-V190</f>
        <v>14.6810153381695</v>
      </c>
      <c r="W191" s="47" t="n">
        <f aca="false">$B$184-W190</f>
        <v>14.6810153381695</v>
      </c>
      <c r="X191" s="47" t="n">
        <f aca="false">$B$184-X190</f>
        <v>14.6810153381695</v>
      </c>
      <c r="Y191" s="47" t="n">
        <f aca="false">$B$184-Y190</f>
        <v>14.6810153381695</v>
      </c>
      <c r="Z191" s="47" t="n">
        <f aca="false">$B$184-Z190</f>
        <v>14.6810153381695</v>
      </c>
      <c r="AA191" s="47" t="n">
        <f aca="false">$B$184-AA190</f>
        <v>14.6810153381695</v>
      </c>
      <c r="AB191" s="47" t="n">
        <f aca="false">$B$184-AB190</f>
        <v>14.6810153381695</v>
      </c>
      <c r="AC191" s="47" t="n">
        <f aca="false">$B$184-AC190</f>
        <v>14.6810153381695</v>
      </c>
      <c r="AD191" s="47" t="n">
        <f aca="false">$B$184-AD190</f>
        <v>14.6810153381695</v>
      </c>
      <c r="AE191" s="47" t="n">
        <f aca="false">$B$184-AE190</f>
        <v>14.6810153381695</v>
      </c>
      <c r="AF191" s="47" t="n">
        <f aca="false">$B$184-AF190</f>
        <v>14.6810153381695</v>
      </c>
      <c r="AG191" s="47" t="n">
        <f aca="false">$B$184-AG190</f>
        <v>14.6810153381695</v>
      </c>
      <c r="AH191" s="47" t="n">
        <f aca="false">$B$184-AH190</f>
        <v>14.6810153381695</v>
      </c>
      <c r="AI191" s="47" t="n">
        <f aca="false">$B$184-AI190</f>
        <v>14.6810153381695</v>
      </c>
      <c r="AJ191" s="47" t="n">
        <f aca="false">$B$184-AJ190</f>
        <v>14.6810153381695</v>
      </c>
      <c r="AK191" s="47" t="n">
        <f aca="false">$B$184-AK190</f>
        <v>14.6810153381695</v>
      </c>
    </row>
    <row r="192" customFormat="false" ht="15" hidden="false" customHeight="false" outlineLevel="0" collapsed="false">
      <c r="A192" s="10" t="s">
        <v>580</v>
      </c>
      <c r="G192" s="47" t="n">
        <f aca="false">$F$143</f>
        <v>0</v>
      </c>
      <c r="H192" s="47" t="n">
        <f aca="false">G192</f>
        <v>0</v>
      </c>
      <c r="I192" s="47" t="n">
        <f aca="false">H192-H193</f>
        <v>0</v>
      </c>
      <c r="J192" s="47" t="n">
        <f aca="false">I192-I193</f>
        <v>0</v>
      </c>
      <c r="K192" s="47" t="n">
        <f aca="false">J192-J193</f>
        <v>0</v>
      </c>
      <c r="L192" s="47" t="n">
        <f aca="false">K192-K193</f>
        <v>0</v>
      </c>
      <c r="M192" s="47" t="n">
        <f aca="false">L192-L193</f>
        <v>0</v>
      </c>
      <c r="N192" s="47" t="n">
        <f aca="false">M192-M193</f>
        <v>0</v>
      </c>
      <c r="O192" s="47" t="n">
        <f aca="false">N192-N193</f>
        <v>0</v>
      </c>
      <c r="P192" s="47" t="n">
        <f aca="false">O192-O193</f>
        <v>0</v>
      </c>
      <c r="Q192" s="47" t="n">
        <f aca="false">P192-P193</f>
        <v>0</v>
      </c>
      <c r="R192" s="47" t="n">
        <f aca="false">Q192-Q193</f>
        <v>0</v>
      </c>
      <c r="S192" s="47" t="n">
        <f aca="false">R192-R193</f>
        <v>0</v>
      </c>
      <c r="T192" s="47" t="n">
        <f aca="false">S192-S193</f>
        <v>0</v>
      </c>
      <c r="U192" s="47" t="n">
        <f aca="false">T192-T193</f>
        <v>0</v>
      </c>
      <c r="V192" s="47" t="n">
        <f aca="false">U192-U193</f>
        <v>0</v>
      </c>
      <c r="W192" s="47" t="n">
        <f aca="false">V192-V193</f>
        <v>0</v>
      </c>
      <c r="X192" s="47" t="n">
        <f aca="false">W192-W193</f>
        <v>0</v>
      </c>
      <c r="Y192" s="47" t="n">
        <f aca="false">X192-X193</f>
        <v>0</v>
      </c>
      <c r="Z192" s="47" t="n">
        <f aca="false">Y192-Y193</f>
        <v>0</v>
      </c>
      <c r="AA192" s="47" t="n">
        <f aca="false">Z192-Z193</f>
        <v>0</v>
      </c>
      <c r="AB192" s="47" t="n">
        <f aca="false">AA192-AA193</f>
        <v>0</v>
      </c>
      <c r="AC192" s="47" t="n">
        <f aca="false">AB192-AB193</f>
        <v>0</v>
      </c>
      <c r="AD192" s="47" t="n">
        <f aca="false">AC192-AC193</f>
        <v>0</v>
      </c>
      <c r="AE192" s="47" t="n">
        <f aca="false">AD192-AD193</f>
        <v>0</v>
      </c>
      <c r="AF192" s="47" t="n">
        <f aca="false">AE192-AE193</f>
        <v>0</v>
      </c>
      <c r="AG192" s="47" t="n">
        <f aca="false">AF192-AF193</f>
        <v>0</v>
      </c>
      <c r="AH192" s="47" t="n">
        <f aca="false">AG192-AG193</f>
        <v>0</v>
      </c>
      <c r="AI192" s="47" t="n">
        <f aca="false">AH192-AH193</f>
        <v>0</v>
      </c>
      <c r="AJ192" s="47" t="n">
        <f aca="false">AI192-AI193</f>
        <v>0</v>
      </c>
      <c r="AK192" s="47" t="n">
        <f aca="false">AJ192-AJ193</f>
        <v>0</v>
      </c>
    </row>
    <row r="193" customFormat="false" ht="15" hidden="false" customHeight="false" outlineLevel="0" collapsed="false">
      <c r="A193" s="10" t="s">
        <v>581</v>
      </c>
      <c r="H193" s="47" t="n">
        <f aca="false">MIN(H192,Inputs!$B$35*H191,1E+099)</f>
        <v>0</v>
      </c>
      <c r="I193" s="47" t="n">
        <f aca="false">MIN(I192,Inputs!$B$35*I191,1E+099)</f>
        <v>0</v>
      </c>
      <c r="J193" s="47" t="n">
        <f aca="false">MIN(J192,Inputs!$B$35*J191,1E+099)</f>
        <v>0</v>
      </c>
      <c r="K193" s="47" t="n">
        <f aca="false">MIN(K192,Inputs!$B$35*K191,1E+099)</f>
        <v>0</v>
      </c>
      <c r="L193" s="47" t="n">
        <f aca="false">MIN(L192,Inputs!$B$35*L191,1E+099)</f>
        <v>0</v>
      </c>
      <c r="M193" s="47" t="n">
        <f aca="false">MIN(M192,Inputs!$B$35*M191,1E+099)</f>
        <v>0</v>
      </c>
      <c r="N193" s="47" t="n">
        <f aca="false">MIN(N192,Inputs!$B$35*N191,1E+099)</f>
        <v>0</v>
      </c>
      <c r="O193" s="47" t="n">
        <f aca="false">MIN(O192,Inputs!$B$35*O191,1E+099)</f>
        <v>0</v>
      </c>
      <c r="P193" s="47" t="n">
        <f aca="false">MIN(P192,Inputs!$B$35*P191,1E+099)</f>
        <v>0</v>
      </c>
      <c r="Q193" s="47" t="n">
        <f aca="false">MIN(Q192,Inputs!$B$35*Q191,1E+099)</f>
        <v>0</v>
      </c>
      <c r="R193" s="47" t="n">
        <f aca="false">MIN(R192,Inputs!$B$35*R191,1E+099)</f>
        <v>0</v>
      </c>
      <c r="S193" s="47" t="n">
        <f aca="false">MIN(S192,Inputs!$B$35*S191,1E+099)</f>
        <v>0</v>
      </c>
      <c r="T193" s="47" t="n">
        <f aca="false">MIN(T192,Inputs!$B$35*T191,1E+099)</f>
        <v>0</v>
      </c>
      <c r="U193" s="47" t="n">
        <f aca="false">MIN(U192,Inputs!$B$35*U191,1E+099)</f>
        <v>0</v>
      </c>
      <c r="V193" s="47" t="n">
        <f aca="false">MIN(V192,Inputs!$B$35*V191,1E+099)</f>
        <v>0</v>
      </c>
      <c r="W193" s="47" t="n">
        <f aca="false">MIN(W192,Inputs!$B$35*W191,1E+099)</f>
        <v>0</v>
      </c>
      <c r="X193" s="47" t="n">
        <f aca="false">MIN(X192,Inputs!$B$35*X191,1E+099)</f>
        <v>0</v>
      </c>
      <c r="Y193" s="47" t="n">
        <f aca="false">MIN(Y192,Inputs!$B$35*Y191,1E+099)</f>
        <v>0</v>
      </c>
      <c r="Z193" s="47" t="n">
        <f aca="false">MIN(Z192,Inputs!$B$35*Z191,1E+099)</f>
        <v>0</v>
      </c>
      <c r="AA193" s="47" t="n">
        <f aca="false">MIN(AA192,Inputs!$B$35*AA191,1E+099)</f>
        <v>0</v>
      </c>
      <c r="AB193" s="47" t="n">
        <f aca="false">MIN(AB192,Inputs!$B$35*AB191,1E+099)</f>
        <v>0</v>
      </c>
      <c r="AC193" s="47" t="n">
        <f aca="false">MIN(AC192,Inputs!$B$35*AC191,1E+099)</f>
        <v>0</v>
      </c>
      <c r="AD193" s="47" t="n">
        <f aca="false">MIN(AD192,Inputs!$B$35*AD191,1E+099)</f>
        <v>0</v>
      </c>
      <c r="AE193" s="47" t="n">
        <f aca="false">MIN(AE192,Inputs!$B$35*AE191,1E+099)</f>
        <v>0</v>
      </c>
      <c r="AF193" s="47" t="n">
        <f aca="false">MIN(AF192,Inputs!$B$35*AF191,1E+099)</f>
        <v>0</v>
      </c>
      <c r="AG193" s="47" t="n">
        <f aca="false">MIN(AG192,Inputs!$B$35*AG191,1E+099)</f>
        <v>0</v>
      </c>
      <c r="AH193" s="47" t="n">
        <f aca="false">MIN(AH192,Inputs!$B$35*AH191,1E+099)</f>
        <v>0</v>
      </c>
      <c r="AI193" s="47" t="n">
        <f aca="false">MIN(AI192,Inputs!$B$35*AI191,1E+099)</f>
        <v>0</v>
      </c>
      <c r="AJ193" s="47" t="n">
        <f aca="false">MIN(AJ192,Inputs!$B$35*AJ191,1E+099)</f>
        <v>0</v>
      </c>
      <c r="AK193" s="47" t="n">
        <f aca="false">MIN(AK192,Inputs!$B$35*AK191,1E+099)</f>
        <v>0</v>
      </c>
    </row>
    <row r="194" customFormat="false" ht="15" hidden="false" customHeight="false" outlineLevel="0" collapsed="false">
      <c r="A194" s="10" t="s">
        <v>582</v>
      </c>
      <c r="G194" s="47" t="n">
        <f aca="false">$F$144</f>
        <v>0</v>
      </c>
      <c r="H194" s="47" t="n">
        <f aca="false">G194</f>
        <v>0</v>
      </c>
      <c r="I194" s="47" t="n">
        <f aca="false">H194-H195</f>
        <v>0</v>
      </c>
      <c r="J194" s="47" t="n">
        <f aca="false">I194-I195</f>
        <v>0</v>
      </c>
      <c r="K194" s="47" t="n">
        <f aca="false">J194-J195</f>
        <v>0</v>
      </c>
      <c r="L194" s="47" t="n">
        <f aca="false">K194-K195</f>
        <v>0</v>
      </c>
      <c r="M194" s="47" t="n">
        <f aca="false">L194-L195</f>
        <v>0</v>
      </c>
      <c r="N194" s="47" t="n">
        <f aca="false">M194-M195</f>
        <v>0</v>
      </c>
      <c r="O194" s="47" t="n">
        <f aca="false">N194-N195</f>
        <v>0</v>
      </c>
      <c r="P194" s="47" t="n">
        <f aca="false">O194-O195</f>
        <v>0</v>
      </c>
      <c r="Q194" s="47" t="n">
        <f aca="false">P194-P195</f>
        <v>0</v>
      </c>
      <c r="R194" s="47" t="n">
        <f aca="false">Q194-Q195</f>
        <v>0</v>
      </c>
      <c r="S194" s="47" t="n">
        <f aca="false">R194-R195</f>
        <v>0</v>
      </c>
      <c r="T194" s="47" t="n">
        <f aca="false">S194-S195</f>
        <v>0</v>
      </c>
      <c r="U194" s="47" t="n">
        <f aca="false">T194-T195</f>
        <v>0</v>
      </c>
      <c r="V194" s="47" t="n">
        <f aca="false">U194-U195</f>
        <v>0</v>
      </c>
      <c r="W194" s="47" t="n">
        <f aca="false">V194-V195</f>
        <v>0</v>
      </c>
      <c r="X194" s="47" t="n">
        <f aca="false">W194-W195</f>
        <v>0</v>
      </c>
      <c r="Y194" s="47" t="n">
        <f aca="false">X194-X195</f>
        <v>0</v>
      </c>
      <c r="Z194" s="47" t="n">
        <f aca="false">Y194-Y195</f>
        <v>0</v>
      </c>
      <c r="AA194" s="47" t="n">
        <f aca="false">Z194-Z195</f>
        <v>0</v>
      </c>
      <c r="AB194" s="47" t="n">
        <f aca="false">AA194-AA195</f>
        <v>0</v>
      </c>
      <c r="AC194" s="47" t="n">
        <f aca="false">AB194-AB195</f>
        <v>0</v>
      </c>
      <c r="AD194" s="47" t="n">
        <f aca="false">AC194-AC195</f>
        <v>0</v>
      </c>
      <c r="AE194" s="47" t="n">
        <f aca="false">AD194-AD195</f>
        <v>0</v>
      </c>
      <c r="AF194" s="47" t="n">
        <f aca="false">AE194-AE195</f>
        <v>0</v>
      </c>
      <c r="AG194" s="47" t="n">
        <f aca="false">AF194-AF195</f>
        <v>0</v>
      </c>
      <c r="AH194" s="47" t="n">
        <f aca="false">AG194-AG195</f>
        <v>0</v>
      </c>
      <c r="AI194" s="47" t="n">
        <f aca="false">AH194-AH195</f>
        <v>0</v>
      </c>
      <c r="AJ194" s="47" t="n">
        <f aca="false">AI194-AI195</f>
        <v>0</v>
      </c>
      <c r="AK194" s="47" t="n">
        <f aca="false">AJ194-AJ195</f>
        <v>0</v>
      </c>
    </row>
    <row r="195" customFormat="false" ht="15" hidden="false" customHeight="false" outlineLevel="0" collapsed="false">
      <c r="A195" s="10" t="s">
        <v>576</v>
      </c>
      <c r="H195" s="47" t="n">
        <f aca="false">MIN(H194,Inputs!$B$35*H191-H193)</f>
        <v>0</v>
      </c>
      <c r="I195" s="47" t="n">
        <f aca="false">MIN(I194,Inputs!$B$35*I191-I193)</f>
        <v>0</v>
      </c>
      <c r="J195" s="47" t="n">
        <f aca="false">MIN(J194,Inputs!$B$35*J191-J193)</f>
        <v>0</v>
      </c>
      <c r="K195" s="47" t="n">
        <f aca="false">MIN(K194,Inputs!$B$35*K191-K193)</f>
        <v>0</v>
      </c>
      <c r="L195" s="47" t="n">
        <f aca="false">MIN(L194,Inputs!$B$35*L191-L193)</f>
        <v>0</v>
      </c>
      <c r="M195" s="47" t="n">
        <f aca="false">MIN(M194,Inputs!$B$35*M191-M193)</f>
        <v>0</v>
      </c>
      <c r="N195" s="47" t="n">
        <f aca="false">MIN(N194,Inputs!$B$35*N191-N193)</f>
        <v>0</v>
      </c>
      <c r="O195" s="47" t="n">
        <f aca="false">MIN(O194,Inputs!$B$35*O191-O193)</f>
        <v>0</v>
      </c>
      <c r="P195" s="47" t="n">
        <f aca="false">MIN(P194,Inputs!$B$35*P191-P193)</f>
        <v>0</v>
      </c>
      <c r="Q195" s="47" t="n">
        <f aca="false">MIN(Q194,Inputs!$B$35*Q191-Q193)</f>
        <v>0</v>
      </c>
      <c r="R195" s="47" t="n">
        <f aca="false">MIN(R194,Inputs!$B$35*R191-R193)</f>
        <v>0</v>
      </c>
      <c r="S195" s="47" t="n">
        <f aca="false">MIN(S194,Inputs!$B$35*S191-S193)</f>
        <v>0</v>
      </c>
      <c r="T195" s="47" t="n">
        <f aca="false">MIN(T194,Inputs!$B$35*T191-T193)</f>
        <v>0</v>
      </c>
      <c r="U195" s="47" t="n">
        <f aca="false">MIN(U194,Inputs!$B$35*U191-U193)</f>
        <v>0</v>
      </c>
      <c r="V195" s="47" t="n">
        <f aca="false">MIN(V194,Inputs!$B$35*V191-V193)</f>
        <v>0</v>
      </c>
      <c r="W195" s="47" t="n">
        <f aca="false">MIN(W194,Inputs!$B$35*W191-W193)</f>
        <v>0</v>
      </c>
      <c r="X195" s="47" t="n">
        <f aca="false">MIN(X194,Inputs!$B$35*X191-X193)</f>
        <v>0</v>
      </c>
      <c r="Y195" s="47" t="n">
        <f aca="false">MIN(Y194,Inputs!$B$35*Y191-Y193)</f>
        <v>0</v>
      </c>
      <c r="Z195" s="47" t="n">
        <f aca="false">MIN(Z194,Inputs!$B$35*Z191-Z193)</f>
        <v>0</v>
      </c>
      <c r="AA195" s="47" t="n">
        <f aca="false">MIN(AA194,Inputs!$B$35*AA191-AA193)</f>
        <v>0</v>
      </c>
      <c r="AB195" s="47" t="n">
        <f aca="false">MIN(AB194,Inputs!$B$35*AB191-AB193)</f>
        <v>0</v>
      </c>
      <c r="AC195" s="47" t="n">
        <f aca="false">MIN(AC194,Inputs!$B$35*AC191-AC193)</f>
        <v>0</v>
      </c>
      <c r="AD195" s="47" t="n">
        <f aca="false">MIN(AD194,Inputs!$B$35*AD191-AD193)</f>
        <v>0</v>
      </c>
      <c r="AE195" s="47" t="n">
        <f aca="false">MIN(AE194,Inputs!$B$35*AE191-AE193)</f>
        <v>0</v>
      </c>
      <c r="AF195" s="47" t="n">
        <f aca="false">MIN(AF194,Inputs!$B$35*AF191-AF193)</f>
        <v>0</v>
      </c>
      <c r="AG195" s="47" t="n">
        <f aca="false">MIN(AG194,Inputs!$B$35*AG191-AG193)</f>
        <v>0</v>
      </c>
      <c r="AH195" s="47" t="n">
        <f aca="false">MIN(AH194,Inputs!$B$35*AH191-AH193)</f>
        <v>0</v>
      </c>
      <c r="AI195" s="47" t="n">
        <f aca="false">MIN(AI194,Inputs!$B$35*AI191-AI193)</f>
        <v>0</v>
      </c>
      <c r="AJ195" s="47" t="n">
        <f aca="false">MIN(AJ194,Inputs!$B$35*AJ191-AJ193)</f>
        <v>0</v>
      </c>
      <c r="AK195" s="47" t="n">
        <f aca="false">MIN(AK194,Inputs!$B$35*AK191-AK193)</f>
        <v>0</v>
      </c>
    </row>
    <row r="196" customFormat="false" ht="15" hidden="false" customHeight="false" outlineLevel="0" collapsed="false">
      <c r="A196" s="10" t="s">
        <v>583</v>
      </c>
      <c r="H196" s="47" t="n">
        <f aca="false">(H191-H193-H195)*Inputs!$B$33</f>
        <v>3.0830132210156</v>
      </c>
      <c r="I196" s="47" t="n">
        <f aca="false">(I191-I193-I195)*Inputs!$B$33</f>
        <v>3.0830132210156</v>
      </c>
      <c r="J196" s="47" t="n">
        <f aca="false">(J191-J193-J195)*Inputs!$B$33</f>
        <v>3.0830132210156</v>
      </c>
      <c r="K196" s="47" t="n">
        <f aca="false">(K191-K193-K195)*Inputs!$B$33</f>
        <v>3.0830132210156</v>
      </c>
      <c r="L196" s="47" t="n">
        <f aca="false">(L191-L193-L195)*Inputs!$B$33</f>
        <v>3.0830132210156</v>
      </c>
      <c r="M196" s="47" t="n">
        <f aca="false">(M191-M193-M195)*Inputs!$B$33</f>
        <v>3.0830132210156</v>
      </c>
      <c r="N196" s="47" t="n">
        <f aca="false">(N191-N193-N195)*Inputs!$B$33</f>
        <v>3.0830132210156</v>
      </c>
      <c r="O196" s="47" t="n">
        <f aca="false">(O191-O193-O195)*Inputs!$B$33</f>
        <v>3.0830132210156</v>
      </c>
      <c r="P196" s="47" t="n">
        <f aca="false">(P191-P193-P195)*Inputs!$B$33</f>
        <v>3.0830132210156</v>
      </c>
      <c r="Q196" s="47" t="n">
        <f aca="false">(Q191-Q193-Q195)*Inputs!$B$33</f>
        <v>3.0830132210156</v>
      </c>
      <c r="R196" s="47" t="n">
        <f aca="false">(R191-R193-R195)*Inputs!$B$33</f>
        <v>3.0830132210156</v>
      </c>
      <c r="S196" s="47" t="n">
        <f aca="false">(S191-S193-S195)*Inputs!$B$33</f>
        <v>3.0830132210156</v>
      </c>
      <c r="T196" s="47" t="n">
        <f aca="false">(T191-T193-T195)*Inputs!$B$33</f>
        <v>3.0830132210156</v>
      </c>
      <c r="U196" s="47" t="n">
        <f aca="false">(U191-U193-U195)*Inputs!$B$33</f>
        <v>3.0830132210156</v>
      </c>
      <c r="V196" s="47" t="n">
        <f aca="false">(V191-V193-V195)*Inputs!$B$33</f>
        <v>3.0830132210156</v>
      </c>
      <c r="W196" s="47" t="n">
        <f aca="false">(W191-W193-W195)*Inputs!$B$33</f>
        <v>3.0830132210156</v>
      </c>
      <c r="X196" s="47" t="n">
        <f aca="false">(X191-X193-X195)*Inputs!$B$33</f>
        <v>3.0830132210156</v>
      </c>
      <c r="Y196" s="47" t="n">
        <f aca="false">(Y191-Y193-Y195)*Inputs!$B$33</f>
        <v>3.0830132210156</v>
      </c>
      <c r="Z196" s="47" t="n">
        <f aca="false">(Z191-Z193-Z195)*Inputs!$B$33</f>
        <v>3.0830132210156</v>
      </c>
      <c r="AA196" s="47" t="n">
        <f aca="false">(AA191-AA193-AA195)*Inputs!$B$33</f>
        <v>3.0830132210156</v>
      </c>
      <c r="AB196" s="47" t="n">
        <f aca="false">(AB191-AB193-AB195)*Inputs!$B$33</f>
        <v>3.0830132210156</v>
      </c>
      <c r="AC196" s="47" t="n">
        <f aca="false">(AC191-AC193-AC195)*Inputs!$B$33</f>
        <v>3.0830132210156</v>
      </c>
      <c r="AD196" s="47" t="n">
        <f aca="false">(AD191-AD193-AD195)*Inputs!$B$33</f>
        <v>3.0830132210156</v>
      </c>
      <c r="AE196" s="47" t="n">
        <f aca="false">(AE191-AE193-AE195)*Inputs!$B$33</f>
        <v>3.0830132210156</v>
      </c>
      <c r="AF196" s="47" t="n">
        <f aca="false">(AF191-AF193-AF195)*Inputs!$B$33</f>
        <v>3.0830132210156</v>
      </c>
      <c r="AG196" s="47" t="n">
        <f aca="false">(AG191-AG193-AG195)*Inputs!$B$33</f>
        <v>3.0830132210156</v>
      </c>
      <c r="AH196" s="47" t="n">
        <f aca="false">(AH191-AH193-AH195)*Inputs!$B$33</f>
        <v>3.0830132210156</v>
      </c>
      <c r="AI196" s="47" t="n">
        <f aca="false">(AI191-AI193-AI195)*Inputs!$B$33</f>
        <v>3.0830132210156</v>
      </c>
      <c r="AJ196" s="47" t="n">
        <f aca="false">(AJ191-AJ193-AJ195)*Inputs!$B$33</f>
        <v>3.0830132210156</v>
      </c>
      <c r="AK196" s="47" t="n">
        <f aca="false">(AK191-AK193-AK195)*Inputs!$B$33</f>
        <v>3.0830132210156</v>
      </c>
    </row>
    <row r="197" customFormat="false" ht="15" hidden="false" customHeight="false" outlineLevel="0" collapsed="false">
      <c r="A197" s="10" t="s">
        <v>584</v>
      </c>
      <c r="G197" s="47" t="n">
        <f aca="false">$F$147</f>
        <v>0</v>
      </c>
      <c r="H197" s="47" t="n">
        <f aca="false">G197</f>
        <v>0</v>
      </c>
      <c r="I197" s="47" t="n">
        <f aca="false">H197-H198</f>
        <v>0</v>
      </c>
      <c r="J197" s="47" t="n">
        <f aca="false">I197-I198</f>
        <v>0</v>
      </c>
      <c r="K197" s="47" t="n">
        <f aca="false">J197-J198</f>
        <v>0</v>
      </c>
      <c r="L197" s="47" t="n">
        <f aca="false">K197-K198</f>
        <v>0</v>
      </c>
      <c r="M197" s="47" t="n">
        <f aca="false">L197-L198</f>
        <v>0</v>
      </c>
      <c r="N197" s="47" t="n">
        <f aca="false">M197-M198</f>
        <v>0</v>
      </c>
      <c r="O197" s="47" t="n">
        <f aca="false">N197-N198</f>
        <v>0</v>
      </c>
      <c r="P197" s="47" t="n">
        <f aca="false">O197-O198</f>
        <v>0</v>
      </c>
      <c r="Q197" s="47" t="n">
        <f aca="false">P197-P198</f>
        <v>0</v>
      </c>
      <c r="R197" s="47" t="n">
        <f aca="false">Q197-Q198</f>
        <v>0</v>
      </c>
      <c r="S197" s="47" t="n">
        <f aca="false">R197-R198</f>
        <v>0</v>
      </c>
      <c r="T197" s="47" t="n">
        <f aca="false">S197-S198</f>
        <v>0</v>
      </c>
      <c r="U197" s="47" t="n">
        <f aca="false">T197-T198</f>
        <v>0</v>
      </c>
      <c r="V197" s="47" t="n">
        <f aca="false">U197-U198</f>
        <v>0</v>
      </c>
      <c r="W197" s="47" t="n">
        <f aca="false">V197-V198</f>
        <v>0</v>
      </c>
      <c r="X197" s="47" t="n">
        <f aca="false">W197-W198</f>
        <v>0</v>
      </c>
      <c r="Y197" s="47" t="n">
        <f aca="false">X197-X198</f>
        <v>0</v>
      </c>
      <c r="Z197" s="47" t="n">
        <f aca="false">Y197-Y198</f>
        <v>0</v>
      </c>
      <c r="AA197" s="47" t="n">
        <f aca="false">Z197-Z198</f>
        <v>0</v>
      </c>
      <c r="AB197" s="47" t="n">
        <f aca="false">AA197-AA198</f>
        <v>0</v>
      </c>
      <c r="AC197" s="47" t="n">
        <f aca="false">AB197-AB198</f>
        <v>0</v>
      </c>
      <c r="AD197" s="47" t="n">
        <f aca="false">AC197-AC198</f>
        <v>0</v>
      </c>
      <c r="AE197" s="47" t="n">
        <f aca="false">AD197-AD198</f>
        <v>0</v>
      </c>
      <c r="AF197" s="47" t="n">
        <f aca="false">AE197-AE198</f>
        <v>0</v>
      </c>
      <c r="AG197" s="47" t="n">
        <f aca="false">AF197-AF198</f>
        <v>0</v>
      </c>
      <c r="AH197" s="47" t="n">
        <f aca="false">AG197-AG198</f>
        <v>0</v>
      </c>
      <c r="AI197" s="47" t="n">
        <f aca="false">AH197-AH198</f>
        <v>0</v>
      </c>
      <c r="AJ197" s="47" t="n">
        <f aca="false">AI197-AI198</f>
        <v>0</v>
      </c>
      <c r="AK197" s="47" t="n">
        <f aca="false">AJ197-AJ198</f>
        <v>0</v>
      </c>
    </row>
    <row r="198" customFormat="false" ht="15" hidden="false" customHeight="false" outlineLevel="0" collapsed="false">
      <c r="A198" s="10" t="s">
        <v>585</v>
      </c>
      <c r="H198" s="47" t="n">
        <f aca="false">IF(1&lt;=Inputs!$B$43,MIN(H197,H196,MAX(0,1E+099-H193)*Inputs!$B$33),0)</f>
        <v>0</v>
      </c>
      <c r="I198" s="47" t="n">
        <f aca="false">IF(2&lt;=Inputs!$B$43,MIN(I197,I196,MAX(0,1E+099-I193)*Inputs!$B$33),0)</f>
        <v>0</v>
      </c>
      <c r="J198" s="47" t="n">
        <f aca="false">IF(3&lt;=Inputs!$B$43,MIN(J197,J196,MAX(0,1E+099-J193)*Inputs!$B$33),0)</f>
        <v>0</v>
      </c>
      <c r="K198" s="47" t="n">
        <f aca="false">IF(4&lt;=Inputs!$B$43,MIN(K197,K196,MAX(0,1E+099-K193)*Inputs!$B$33),0)</f>
        <v>0</v>
      </c>
      <c r="L198" s="47" t="n">
        <f aca="false">IF(5&lt;=Inputs!$B$43,MIN(L197,L196,MAX(0,1E+099-L193)*Inputs!$B$33),0)</f>
        <v>0</v>
      </c>
      <c r="M198" s="47" t="n">
        <f aca="false">IF(6&lt;=Inputs!$B$43,MIN(M197,M196,MAX(0,1E+099-M193)*Inputs!$B$33),0)</f>
        <v>0</v>
      </c>
      <c r="N198" s="47" t="n">
        <f aca="false">IF(7&lt;=Inputs!$B$43,MIN(N197,N196,MAX(0,1E+099-N193)*Inputs!$B$33),0)</f>
        <v>0</v>
      </c>
      <c r="O198" s="47" t="n">
        <f aca="false">IF(8&lt;=Inputs!$B$43,MIN(O197,O196,MAX(0,1E+099-O193)*Inputs!$B$33),0)</f>
        <v>0</v>
      </c>
      <c r="P198" s="47" t="n">
        <f aca="false">IF(9&lt;=Inputs!$B$43,MIN(P197,P196,MAX(0,1E+099-P193)*Inputs!$B$33),0)</f>
        <v>0</v>
      </c>
      <c r="Q198" s="47" t="n">
        <f aca="false">IF(10&lt;=Inputs!$B$43,MIN(Q197,Q196,MAX(0,1E+099-Q193)*Inputs!$B$33),0)</f>
        <v>0</v>
      </c>
      <c r="R198" s="47" t="n">
        <f aca="false">IF(11&lt;=Inputs!$B$43,MIN(R197,R196,MAX(0,1E+099-R193)*Inputs!$B$33),0)</f>
        <v>0</v>
      </c>
      <c r="S198" s="47" t="n">
        <f aca="false">IF(12&lt;=Inputs!$B$43,MIN(S197,S196,MAX(0,1E+099-S193)*Inputs!$B$33),0)</f>
        <v>0</v>
      </c>
      <c r="T198" s="47" t="n">
        <f aca="false">IF(13&lt;=Inputs!$B$43,MIN(T197,T196,MAX(0,1E+099-T193)*Inputs!$B$33),0)</f>
        <v>0</v>
      </c>
      <c r="U198" s="47" t="n">
        <f aca="false">IF(14&lt;=Inputs!$B$43,MIN(U197,U196,MAX(0,1E+099-U193)*Inputs!$B$33),0)</f>
        <v>0</v>
      </c>
      <c r="V198" s="47" t="n">
        <f aca="false">IF(15&lt;=Inputs!$B$43,MIN(V197,V196,MAX(0,1E+099-V193)*Inputs!$B$33),0)</f>
        <v>0</v>
      </c>
      <c r="W198" s="47" t="n">
        <f aca="false">IF(16&lt;=Inputs!$B$43,MIN(W197,W196,MAX(0,1E+099-W193)*Inputs!$B$33),0)</f>
        <v>0</v>
      </c>
      <c r="X198" s="47" t="n">
        <f aca="false">IF(17&lt;=Inputs!$B$43,MIN(X197,X196,MAX(0,1E+099-X193)*Inputs!$B$33),0)</f>
        <v>0</v>
      </c>
      <c r="Y198" s="47" t="n">
        <f aca="false">IF(18&lt;=Inputs!$B$43,MIN(Y197,Y196,MAX(0,1E+099-Y193)*Inputs!$B$33),0)</f>
        <v>0</v>
      </c>
      <c r="Z198" s="47" t="n">
        <f aca="false">IF(19&lt;=Inputs!$B$43,MIN(Z197,Z196,MAX(0,1E+099-Z193)*Inputs!$B$33),0)</f>
        <v>0</v>
      </c>
      <c r="AA198" s="47" t="n">
        <f aca="false">IF(20&lt;=Inputs!$B$43,MIN(AA197,AA196,MAX(0,1E+099-AA193)*Inputs!$B$33),0)</f>
        <v>0</v>
      </c>
      <c r="AB198" s="47" t="n">
        <f aca="false">IF(21&lt;=Inputs!$B$43,MIN(AB197,AB196,MAX(0,1E+099-AB193)*Inputs!$B$33),0)</f>
        <v>0</v>
      </c>
      <c r="AC198" s="47" t="n">
        <f aca="false">IF(22&lt;=Inputs!$B$43,MIN(AC197,AC196,MAX(0,1E+099-AC193)*Inputs!$B$33),0)</f>
        <v>0</v>
      </c>
      <c r="AD198" s="47" t="n">
        <f aca="false">IF(23&lt;=Inputs!$B$43,MIN(AD197,AD196,MAX(0,1E+099-AD193)*Inputs!$B$33),0)</f>
        <v>0</v>
      </c>
      <c r="AE198" s="47" t="n">
        <f aca="false">IF(24&lt;=Inputs!$B$43,MIN(AE197,AE196,MAX(0,1E+099-AE193)*Inputs!$B$33),0)</f>
        <v>0</v>
      </c>
      <c r="AF198" s="47" t="n">
        <f aca="false">IF(25&lt;=Inputs!$B$43,MIN(AF197,AF196,MAX(0,1E+099-AF193)*Inputs!$B$33),0)</f>
        <v>0</v>
      </c>
      <c r="AG198" s="47" t="n">
        <f aca="false">IF(26&lt;=Inputs!$B$43,MIN(AG197,AG196,MAX(0,1E+099-AG193)*Inputs!$B$33),0)</f>
        <v>0</v>
      </c>
      <c r="AH198" s="47" t="n">
        <f aca="false">IF(27&lt;=Inputs!$B$43,MIN(AH197,AH196,MAX(0,1E+099-AH193)*Inputs!$B$33),0)</f>
        <v>0</v>
      </c>
      <c r="AI198" s="47" t="n">
        <f aca="false">IF(28&lt;=Inputs!$B$43,MIN(AI197,AI196,MAX(0,1E+099-AI193)*Inputs!$B$33),0)</f>
        <v>0</v>
      </c>
      <c r="AJ198" s="47" t="n">
        <f aca="false">IF(29&lt;=Inputs!$B$43,MIN(AJ197,AJ196,MAX(0,1E+099-AJ193)*Inputs!$B$33),0)</f>
        <v>0</v>
      </c>
      <c r="AK198" s="47" t="n">
        <f aca="false">IF(30&lt;=Inputs!$B$43,MIN(AK197,AK196,MAX(0,1E+099-AK193)*Inputs!$B$33),0)</f>
        <v>0</v>
      </c>
    </row>
    <row r="199" customFormat="false" ht="15" hidden="false" customHeight="false" outlineLevel="0" collapsed="false">
      <c r="A199" s="10" t="s">
        <v>586</v>
      </c>
      <c r="H199" s="47" t="n">
        <f aca="false">($B$184*Inputs!$B$34+($B$184-$B$184*Inputs!$B$34)*Inputs!$B$33)-(H190+H196-H198)</f>
        <v>0</v>
      </c>
      <c r="I199" s="47" t="n">
        <f aca="false">($B$184*Inputs!$B$34+($B$184-$B$184*Inputs!$B$34)*Inputs!$B$33)-(I190+I196-I198)</f>
        <v>0</v>
      </c>
      <c r="J199" s="47" t="n">
        <f aca="false">($B$184*Inputs!$B$34+($B$184-$B$184*Inputs!$B$34)*Inputs!$B$33)-(J190+J196-J198)</f>
        <v>0</v>
      </c>
      <c r="K199" s="47" t="n">
        <f aca="false">($B$184*Inputs!$B$34+($B$184-$B$184*Inputs!$B$34)*Inputs!$B$33)-(K190+K196-K198)</f>
        <v>0</v>
      </c>
      <c r="L199" s="47" t="n">
        <f aca="false">($B$184*Inputs!$B$34+($B$184-$B$184*Inputs!$B$34)*Inputs!$B$33)-(L190+L196-L198)</f>
        <v>0</v>
      </c>
      <c r="M199" s="47" t="n">
        <f aca="false">($B$184*Inputs!$B$34+($B$184-$B$184*Inputs!$B$34)*Inputs!$B$33)-(M190+M196-M198)</f>
        <v>0</v>
      </c>
      <c r="N199" s="47" t="n">
        <f aca="false">($B$184*Inputs!$B$34+($B$184-$B$184*Inputs!$B$34)*Inputs!$B$33)-(N190+N196-N198)</f>
        <v>0</v>
      </c>
      <c r="O199" s="47" t="n">
        <f aca="false">($B$184*Inputs!$B$34+($B$184-$B$184*Inputs!$B$34)*Inputs!$B$33)-(O190+O196-O198)</f>
        <v>0</v>
      </c>
      <c r="P199" s="47" t="n">
        <f aca="false">($B$184*Inputs!$B$34+($B$184-$B$184*Inputs!$B$34)*Inputs!$B$33)-(P190+P196-P198)</f>
        <v>0</v>
      </c>
      <c r="Q199" s="47" t="n">
        <f aca="false">($B$184*Inputs!$B$34+($B$184-$B$184*Inputs!$B$34)*Inputs!$B$33)-(Q190+Q196-Q198)</f>
        <v>0</v>
      </c>
      <c r="R199" s="47" t="n">
        <f aca="false">($B$184*Inputs!$B$34+($B$184-$B$184*Inputs!$B$34)*Inputs!$B$33)-(R190+R196-R198)</f>
        <v>0</v>
      </c>
      <c r="S199" s="47" t="n">
        <f aca="false">($B$184*Inputs!$B$34+($B$184-$B$184*Inputs!$B$34)*Inputs!$B$33)-(S190+S196-S198)</f>
        <v>0</v>
      </c>
      <c r="T199" s="47" t="n">
        <f aca="false">($B$184*Inputs!$B$34+($B$184-$B$184*Inputs!$B$34)*Inputs!$B$33)-(T190+T196-T198)</f>
        <v>0</v>
      </c>
      <c r="U199" s="47" t="n">
        <f aca="false">($B$184*Inputs!$B$34+($B$184-$B$184*Inputs!$B$34)*Inputs!$B$33)-(U190+U196-U198)</f>
        <v>0</v>
      </c>
      <c r="V199" s="47" t="n">
        <f aca="false">($B$184*Inputs!$B$34+($B$184-$B$184*Inputs!$B$34)*Inputs!$B$33)-(V190+V196-V198)</f>
        <v>0</v>
      </c>
      <c r="W199" s="47" t="n">
        <f aca="false">($B$184*Inputs!$B$34+($B$184-$B$184*Inputs!$B$34)*Inputs!$B$33)-(W190+W196-W198)</f>
        <v>0</v>
      </c>
      <c r="X199" s="47" t="n">
        <f aca="false">($B$184*Inputs!$B$34+($B$184-$B$184*Inputs!$B$34)*Inputs!$B$33)-(X190+X196-X198)</f>
        <v>0</v>
      </c>
      <c r="Y199" s="47" t="n">
        <f aca="false">($B$184*Inputs!$B$34+($B$184-$B$184*Inputs!$B$34)*Inputs!$B$33)-(Y190+Y196-Y198)</f>
        <v>0</v>
      </c>
      <c r="Z199" s="47" t="n">
        <f aca="false">($B$184*Inputs!$B$34+($B$184-$B$184*Inputs!$B$34)*Inputs!$B$33)-(Z190+Z196-Z198)</f>
        <v>0</v>
      </c>
      <c r="AA199" s="47" t="n">
        <f aca="false">($B$184*Inputs!$B$34+($B$184-$B$184*Inputs!$B$34)*Inputs!$B$33)-(AA190+AA196-AA198)</f>
        <v>0</v>
      </c>
      <c r="AB199" s="47" t="n">
        <f aca="false">($B$184*Inputs!$B$34+($B$184-$B$184*Inputs!$B$34)*Inputs!$B$33)-(AB190+AB196-AB198)</f>
        <v>0</v>
      </c>
      <c r="AC199" s="47" t="n">
        <f aca="false">($B$184*Inputs!$B$34+($B$184-$B$184*Inputs!$B$34)*Inputs!$B$33)-(AC190+AC196-AC198)</f>
        <v>0</v>
      </c>
      <c r="AD199" s="47" t="n">
        <f aca="false">($B$184*Inputs!$B$34+($B$184-$B$184*Inputs!$B$34)*Inputs!$B$33)-(AD190+AD196-AD198)</f>
        <v>0</v>
      </c>
      <c r="AE199" s="47" t="n">
        <f aca="false">($B$184*Inputs!$B$34+($B$184-$B$184*Inputs!$B$34)*Inputs!$B$33)-(AE190+AE196-AE198)</f>
        <v>0</v>
      </c>
      <c r="AF199" s="47" t="n">
        <f aca="false">($B$184*Inputs!$B$34+($B$184-$B$184*Inputs!$B$34)*Inputs!$B$33)-(AF190+AF196-AF198)</f>
        <v>0</v>
      </c>
      <c r="AG199" s="47" t="n">
        <f aca="false">($B$184*Inputs!$B$34+($B$184-$B$184*Inputs!$B$34)*Inputs!$B$33)-(AG190+AG196-AG198)</f>
        <v>0</v>
      </c>
      <c r="AH199" s="47" t="n">
        <f aca="false">($B$184*Inputs!$B$34+($B$184-$B$184*Inputs!$B$34)*Inputs!$B$33)-(AH190+AH196-AH198)</f>
        <v>0</v>
      </c>
      <c r="AI199" s="47" t="n">
        <f aca="false">($B$184*Inputs!$B$34+($B$184-$B$184*Inputs!$B$34)*Inputs!$B$33)-(AI190+AI196-AI198)</f>
        <v>0</v>
      </c>
      <c r="AJ199" s="47" t="n">
        <f aca="false">($B$184*Inputs!$B$34+($B$184-$B$184*Inputs!$B$34)*Inputs!$B$33)-(AJ190+AJ196-AJ198)</f>
        <v>0</v>
      </c>
      <c r="AK199" s="47" t="n">
        <f aca="false">($B$184*Inputs!$B$34+($B$184-$B$184*Inputs!$B$34)*Inputs!$B$33)-(AK190+AK196-AK198)</f>
        <v>0</v>
      </c>
    </row>
    <row r="200" customFormat="false" ht="15" hidden="false" customHeight="false" outlineLevel="0" collapsed="false">
      <c r="A200" s="10" t="s">
        <v>587</v>
      </c>
      <c r="B200" s="47" t="n">
        <f aca="false">SUMPRODUCT($H$199:$AK$199,$H$185:$AK$185)</f>
        <v>0</v>
      </c>
    </row>
    <row r="201" customFormat="false" ht="15" hidden="false" customHeight="false" outlineLevel="0" collapsed="false">
      <c r="A201" s="10" t="s">
        <v>588</v>
      </c>
      <c r="B201" s="47" t="n">
        <f aca="false">Inputs!$B$42*$B$200*$F$527</f>
        <v>0</v>
      </c>
    </row>
    <row r="202" customFormat="false" ht="15" hidden="false" customHeight="false" outlineLevel="0" collapsed="false">
      <c r="A202" s="10" t="s">
        <v>589</v>
      </c>
      <c r="B202" s="47" t="n">
        <f aca="false">$B$168</f>
        <v>32.8666884422111</v>
      </c>
    </row>
    <row r="203" customFormat="false" ht="15" hidden="false" customHeight="false" outlineLevel="0" collapsed="false">
      <c r="A203" s="10" t="s">
        <v>590</v>
      </c>
      <c r="B203" s="47" t="n">
        <f aca="false">Inputs!$B$18*IF(ISNUMBER($B$110),$B$110,Inputs!$B$12)</f>
        <v>1.20076658132288</v>
      </c>
    </row>
    <row r="204" customFormat="false" ht="15" hidden="false" customHeight="false" outlineLevel="0" collapsed="false">
      <c r="A204" s="10" t="s">
        <v>591</v>
      </c>
      <c r="B204" s="47" t="n">
        <f aca="false">SUMPRODUCT($C$163:$F$163,$C$527:$F$527)</f>
        <v>0</v>
      </c>
    </row>
    <row r="205" customFormat="false" ht="15" hidden="false" customHeight="false" outlineLevel="0" collapsed="false">
      <c r="A205" s="13" t="s">
        <v>592</v>
      </c>
      <c r="B205" s="18" t="n">
        <f aca="false">$B$183+$B$201+$B$202+$B$203-$B$204</f>
        <v>312.350193936092</v>
      </c>
    </row>
    <row r="206" customFormat="false" ht="15" hidden="false" customHeight="false" outlineLevel="0" collapsed="false">
      <c r="A206" s="10" t="s">
        <v>593</v>
      </c>
      <c r="B206" s="25" t="n">
        <f aca="false">Historicals!$B$89+Inputs!$B$17</f>
        <v>3.967329173</v>
      </c>
    </row>
    <row r="207" customFormat="false" ht="15" hidden="false" customHeight="false" outlineLevel="0" collapsed="false">
      <c r="A207" s="10" t="s">
        <v>594</v>
      </c>
      <c r="B207" s="32" t="n">
        <f aca="false">IFERROR(($B$205-$B$162*(1-Inputs!$B$70))/$B$206,0)</f>
        <v>78.7305969118515</v>
      </c>
    </row>
    <row r="208" customFormat="false" ht="15" hidden="false" customHeight="false" outlineLevel="0" collapsed="false">
      <c r="A208" s="10" t="s">
        <v>595</v>
      </c>
      <c r="B208" s="25" t="n">
        <f aca="false">IF($B$207&gt;0,$B$162/($B$207*(1-Inputs!$B$71)),0)</f>
        <v>0</v>
      </c>
    </row>
    <row r="209" customFormat="false" ht="15" hidden="false" customHeight="false" outlineLevel="0" collapsed="false">
      <c r="A209" s="10" t="s">
        <v>596</v>
      </c>
      <c r="B209" s="32" t="n">
        <f aca="false">IFERROR($B$205/($B$206+$B$208),0)</f>
        <v>78.7305969118515</v>
      </c>
    </row>
    <row r="210" customFormat="false" ht="15" hidden="false" customHeight="false" outlineLevel="0" collapsed="false">
      <c r="A210" s="10" t="s">
        <v>597</v>
      </c>
      <c r="B210" s="47" t="n">
        <f aca="false">SUMPRODUCT($C$162:$F$162,$C$527:$F$527)</f>
        <v>0</v>
      </c>
    </row>
    <row r="211" customFormat="false" ht="15" hidden="false" customHeight="false" outlineLevel="0" collapsed="false">
      <c r="A211" s="10" t="s">
        <v>598</v>
      </c>
      <c r="B211" s="25" t="n">
        <f aca="false">IF($B$209&gt;0,$B$208+$B$210/($B$209*(1-Inputs!$B$71)),0)</f>
        <v>0</v>
      </c>
    </row>
    <row r="212" customFormat="false" ht="15" hidden="false" customHeight="false" outlineLevel="0" collapsed="false">
      <c r="A212" s="13" t="s">
        <v>599</v>
      </c>
      <c r="B212" s="15" t="n">
        <f aca="false">IFERROR(($B$205+$B$210)/($B$206+$B$211),0)</f>
        <v>78.7305969118515</v>
      </c>
    </row>
    <row r="213" customFormat="false" ht="15" hidden="false" customHeight="false" outlineLevel="0" collapsed="false">
      <c r="A213" s="10" t="s">
        <v>600</v>
      </c>
      <c r="B213" s="49" t="str">
        <f aca="false">IF($F$170&gt;Inputs!$B$73,"Not meaningful: funding need above limit",IF(OR($B$174&lt;=0,$B$179&lt;=0),"Not meaningful: 2030 profit or cash flow negative",IF(OR($B$178&lt;=0,$B$182&lt;=0),"Not meaningful: a method gives zero or negative value",IF($B$205&lt;=0,"Not meaningful: value at or below zero","OK"))))</f>
        <v>OK</v>
      </c>
    </row>
    <row r="214" customFormat="false" ht="15" hidden="false" customHeight="false" outlineLevel="0" collapsed="false">
      <c r="A214" s="13" t="s">
        <v>601</v>
      </c>
      <c r="B214" s="15" t="n">
        <f aca="false">IF($B$213="OK",$B$212,"unresolved")</f>
        <v>78.7305969118515</v>
      </c>
    </row>
    <row r="215" customFormat="false" ht="15" hidden="false" customHeight="false" outlineLevel="0" collapsed="false">
      <c r="A215" s="10" t="s">
        <v>602</v>
      </c>
      <c r="B215" s="47" t="n">
        <f aca="false">IF(ISNUMBER($B$214),$B$214*$B$206,"unresolved")</f>
        <v>312.350193936092</v>
      </c>
    </row>
    <row r="216" customFormat="false" ht="15" hidden="false" customHeight="false" outlineLevel="0" collapsed="false">
      <c r="A216" s="10" t="s">
        <v>603</v>
      </c>
      <c r="B216" s="47" t="n">
        <f aca="false">IFERROR($B$205-$B$162*(1-Inputs!$B$70)-$B$215,"n/a")</f>
        <v>0</v>
      </c>
    </row>
    <row r="218" customFormat="false" ht="15" hidden="false" customHeight="false" outlineLevel="0" collapsed="false">
      <c r="A218" s="8" t="s">
        <v>619</v>
      </c>
      <c r="B218" s="9" t="s">
        <v>495</v>
      </c>
      <c r="C218" s="9" t="s">
        <v>496</v>
      </c>
      <c r="D218" s="9" t="s">
        <v>497</v>
      </c>
      <c r="E218" s="9" t="s">
        <v>498</v>
      </c>
      <c r="F218" s="9" t="s">
        <v>499</v>
      </c>
    </row>
    <row r="219" customFormat="false" ht="15" hidden="false" customHeight="false" outlineLevel="0" collapsed="false">
      <c r="A219" s="10" t="s">
        <v>620</v>
      </c>
      <c r="C219" s="47" t="n">
        <f aca="false">IFERROR(C128*C118/C119,0)</f>
        <v>0.0708092283800307</v>
      </c>
      <c r="D219" s="47" t="n">
        <f aca="false">IFERROR(D128*D118/D119,0)</f>
        <v>0.295734797461496</v>
      </c>
      <c r="E219" s="47" t="n">
        <f aca="false">IFERROR(E128*E118/E119,0)</f>
        <v>0.743674054624788</v>
      </c>
      <c r="F219" s="47" t="n">
        <f aca="false">IFERROR(F128*F118/F119,0)</f>
        <v>1.44973696236158</v>
      </c>
    </row>
    <row r="220" customFormat="false" ht="15" hidden="false" customHeight="false" outlineLevel="0" collapsed="false">
      <c r="A220" s="10" t="s">
        <v>621</v>
      </c>
      <c r="C220" s="47" t="n">
        <f aca="false">C124-C118*Inputs!$C$148-C219</f>
        <v>-0.200809228380031</v>
      </c>
      <c r="D220" s="47" t="n">
        <f aca="false">D124-D118*Inputs!$C$148-D219</f>
        <v>-0.149068130794829</v>
      </c>
      <c r="E220" s="47" t="n">
        <f aca="false">E124-E118*Inputs!$C$148-E219</f>
        <v>1.28965927870854</v>
      </c>
      <c r="F220" s="47" t="n">
        <f aca="false">F124-F118*Inputs!$C$148-F219</f>
        <v>5.95026303763842</v>
      </c>
    </row>
    <row r="221" customFormat="false" ht="15" hidden="false" customHeight="false" outlineLevel="0" collapsed="false">
      <c r="A221" s="10" t="s">
        <v>622</v>
      </c>
      <c r="C221" s="47" t="n">
        <f aca="false">C220*(1-Inputs!$B$79)</f>
        <v>-0.152293718803415</v>
      </c>
      <c r="D221" s="47" t="n">
        <f aca="false">D220*(1-Inputs!$B$79)</f>
        <v>-0.113053270394799</v>
      </c>
      <c r="E221" s="47" t="n">
        <f aca="false">E220*(1-Inputs!$B$79)</f>
        <v>0.97807759697256</v>
      </c>
      <c r="F221" s="47" t="n">
        <f aca="false">F220*(1-Inputs!$B$79)</f>
        <v>4.51267948774498</v>
      </c>
    </row>
    <row r="222" customFormat="false" ht="15" hidden="false" customHeight="false" outlineLevel="0" collapsed="false">
      <c r="A222" s="10" t="s">
        <v>623</v>
      </c>
      <c r="C222" s="47" t="n">
        <f aca="false">C221+C219-C118*(Inputs!$C$149+(Inputs!$C$150-Inputs!$C$149)*0/3)</f>
        <v>-0.251484490423385</v>
      </c>
      <c r="D222" s="47" t="n">
        <f aca="false">D221+D219-D118*(Inputs!$C$149+(Inputs!$C$150-Inputs!$C$149)*1/3)</f>
        <v>-0.430651806266636</v>
      </c>
      <c r="E222" s="47" t="n">
        <f aca="false">E221+E219-E118*(Inputs!$C$149+(Inputs!$C$150-Inputs!$C$149)*2/3)</f>
        <v>0.355084984930682</v>
      </c>
      <c r="F222" s="47" t="n">
        <f aca="false">F221+F219-F118*(Inputs!$C$149+(Inputs!$C$150-Inputs!$C$149)*3/3)</f>
        <v>3.56241645010656</v>
      </c>
    </row>
    <row r="223" customFormat="false" ht="15" hidden="false" customHeight="false" outlineLevel="0" collapsed="false">
      <c r="A223" s="10" t="s">
        <v>624</v>
      </c>
      <c r="B223" s="47" t="n">
        <f aca="false">Inputs!$B$7*(SUMPRODUCT($C$222:$F$222,$C$527:$F$527)+$F$221*$B$175*$F$527)+(1-Inputs!$B$7)*(SUMPRODUCT($C$222:$F$222,$C$527:$F$527)+$F$222*$B$180*$F$527)</f>
        <v>99.0298399033815</v>
      </c>
    </row>
    <row r="225" customFormat="false" ht="15" hidden="false" customHeight="false" outlineLevel="0" collapsed="false">
      <c r="A225" s="8" t="s">
        <v>625</v>
      </c>
      <c r="B225" s="9" t="s">
        <v>495</v>
      </c>
      <c r="C225" s="9" t="s">
        <v>496</v>
      </c>
      <c r="D225" s="9" t="s">
        <v>497</v>
      </c>
      <c r="E225" s="9" t="s">
        <v>498</v>
      </c>
      <c r="F225" s="9" t="s">
        <v>499</v>
      </c>
    </row>
    <row r="226" customFormat="false" ht="15" hidden="false" customHeight="false" outlineLevel="0" collapsed="false">
      <c r="A226" s="10" t="s">
        <v>605</v>
      </c>
      <c r="B226" s="47" t="n">
        <f aca="false">Historicals!$C$73+Inputs!$C$120</f>
        <v>78.81</v>
      </c>
      <c r="C226" s="47" t="n">
        <f aca="false">B226*(1+Inputs!$C$124)</f>
        <v>81.1743</v>
      </c>
      <c r="D226" s="47" t="n">
        <f aca="false">C226*(1+Inputs!$C$125)</f>
        <v>85.233015</v>
      </c>
      <c r="E226" s="47" t="n">
        <f aca="false">D226*(1+Inputs!$C$126)</f>
        <v>89.49466575</v>
      </c>
      <c r="F226" s="47" t="n">
        <f aca="false">E226*(1+Inputs!$C$127)</f>
        <v>93.9693990375</v>
      </c>
    </row>
    <row r="227" customFormat="false" ht="15" hidden="false" customHeight="false" outlineLevel="0" collapsed="false">
      <c r="A227" s="10" t="s">
        <v>606</v>
      </c>
      <c r="B227" s="47" t="n">
        <f aca="false">Historicals!$C$74+Inputs!$C$121</f>
        <v>11.728</v>
      </c>
      <c r="C227" s="47" t="n">
        <f aca="false">B227*(1+Inputs!$C$128)</f>
        <v>14.0736</v>
      </c>
      <c r="D227" s="47" t="n">
        <f aca="false">C227*(1+Inputs!$C$129)</f>
        <v>16.88832</v>
      </c>
      <c r="E227" s="47" t="n">
        <f aca="false">D227*(1+Inputs!$C$130)</f>
        <v>20.265984</v>
      </c>
      <c r="F227" s="47" t="n">
        <f aca="false">E227*(1+Inputs!$C$131)</f>
        <v>24.3191808</v>
      </c>
    </row>
    <row r="228" customFormat="false" ht="15" hidden="false" customHeight="false" outlineLevel="0" collapsed="false">
      <c r="A228" s="10" t="s">
        <v>607</v>
      </c>
      <c r="B228" s="47" t="n">
        <f aca="false">Historicals!$C$75+Inputs!$C$122</f>
        <v>17.831</v>
      </c>
      <c r="C228" s="47" t="n">
        <f aca="false">B228*(1+Inputs!$C$132)</f>
        <v>21.04058</v>
      </c>
      <c r="D228" s="47" t="n">
        <f aca="false">C228*(1+Inputs!$C$133)</f>
        <v>24.8278844</v>
      </c>
      <c r="E228" s="47" t="n">
        <f aca="false">D228*(1+Inputs!$C$134)</f>
        <v>29.296903592</v>
      </c>
      <c r="F228" s="47" t="n">
        <f aca="false">E228*(1+Inputs!$C$135)</f>
        <v>34.57034623856</v>
      </c>
    </row>
    <row r="229" customFormat="false" ht="15" hidden="false" customHeight="false" outlineLevel="0" collapsed="false">
      <c r="A229" s="10" t="s">
        <v>608</v>
      </c>
      <c r="B229" s="26" t="n">
        <v>0</v>
      </c>
      <c r="C229" s="47" t="n">
        <f aca="false">0*Inputs!$C$136</f>
        <v>0</v>
      </c>
      <c r="D229" s="47" t="n">
        <f aca="false">0*Inputs!$C$137</f>
        <v>0</v>
      </c>
      <c r="E229" s="47" t="n">
        <f aca="false">0*Inputs!$C$138</f>
        <v>0</v>
      </c>
      <c r="F229" s="47" t="n">
        <f aca="false">0*Inputs!$C$139</f>
        <v>0</v>
      </c>
    </row>
    <row r="230" customFormat="false" ht="15" hidden="false" customHeight="false" outlineLevel="0" collapsed="false">
      <c r="A230" s="13" t="s">
        <v>108</v>
      </c>
      <c r="B230" s="18" t="n">
        <f aca="false">B226+B227+B228+B229</f>
        <v>108.369</v>
      </c>
      <c r="C230" s="18" t="n">
        <f aca="false">C226+C227+C228+C229</f>
        <v>116.28848</v>
      </c>
      <c r="D230" s="18" t="n">
        <f aca="false">D226+D227+D228+D229</f>
        <v>126.9492194</v>
      </c>
      <c r="E230" s="18" t="n">
        <f aca="false">E226+E227+E228+E229</f>
        <v>139.057553342</v>
      </c>
      <c r="F230" s="18" t="n">
        <f aca="false">F226+F227+F228+F229</f>
        <v>152.85892607606</v>
      </c>
    </row>
    <row r="231" customFormat="false" ht="15" hidden="false" customHeight="false" outlineLevel="0" collapsed="false">
      <c r="A231" s="10" t="s">
        <v>501</v>
      </c>
      <c r="C231" s="19" t="n">
        <f aca="false">IFERROR(C230/B230-1,0)</f>
        <v>0.0730788325074512</v>
      </c>
      <c r="D231" s="19" t="n">
        <f aca="false">IFERROR(D230/C230-1,0)</f>
        <v>0.0916749397704746</v>
      </c>
      <c r="E231" s="19" t="n">
        <f aca="false">IFERROR(E230/D230-1,0)</f>
        <v>0.0953793493116979</v>
      </c>
      <c r="F231" s="19" t="n">
        <f aca="false">IFERROR(F230/E230-1,0)</f>
        <v>0.0992493568480724</v>
      </c>
    </row>
    <row r="232" customFormat="false" ht="15" hidden="false" customHeight="false" outlineLevel="0" collapsed="false">
      <c r="A232" s="10" t="s">
        <v>609</v>
      </c>
      <c r="C232" s="47" t="n">
        <f aca="false">C226*(Inputs!$C$140+(Inputs!$C$141-Inputs!$C$140)*0/3)</f>
        <v>11.364402</v>
      </c>
      <c r="D232" s="47" t="n">
        <f aca="false">D226*(Inputs!$C$140+(Inputs!$C$141-Inputs!$C$140)*1/3)</f>
        <v>12.78495225</v>
      </c>
      <c r="E232" s="47" t="n">
        <f aca="false">E226*(Inputs!$C$140+(Inputs!$C$141-Inputs!$C$140)*2/3)</f>
        <v>14.31914652</v>
      </c>
      <c r="F232" s="47" t="n">
        <f aca="false">F226*(Inputs!$C$140+(Inputs!$C$141-Inputs!$C$140)*3/3)</f>
        <v>15.974797836375</v>
      </c>
    </row>
    <row r="233" customFormat="false" ht="15" hidden="false" customHeight="false" outlineLevel="0" collapsed="false">
      <c r="A233" s="10" t="s">
        <v>610</v>
      </c>
      <c r="C233" s="47" t="n">
        <f aca="false">C227*(Inputs!$C$142+(Inputs!$C$143-Inputs!$C$142)*0/3)</f>
        <v>4.081344</v>
      </c>
      <c r="D233" s="47" t="n">
        <f aca="false">D227*(Inputs!$C$142+(Inputs!$C$143-Inputs!$C$142)*1/3)</f>
        <v>5.0102016</v>
      </c>
      <c r="E233" s="47" t="n">
        <f aca="false">E227*(Inputs!$C$142+(Inputs!$C$143-Inputs!$C$142)*2/3)</f>
        <v>6.14734848</v>
      </c>
      <c r="F233" s="47" t="n">
        <f aca="false">F227*(Inputs!$C$142+(Inputs!$C$143-Inputs!$C$142)*3/3)</f>
        <v>7.538946048</v>
      </c>
    </row>
    <row r="234" customFormat="false" ht="15" hidden="false" customHeight="false" outlineLevel="0" collapsed="false">
      <c r="A234" s="10" t="s">
        <v>611</v>
      </c>
      <c r="C234" s="47" t="n">
        <f aca="false">C228*(Inputs!$C$144+(Inputs!$C$145-Inputs!$C$144)*0/3)</f>
        <v>4.4185218</v>
      </c>
      <c r="D234" s="47" t="n">
        <f aca="false">D228*(Inputs!$C$144+(Inputs!$C$145-Inputs!$C$144)*1/3)</f>
        <v>5.37937495333333</v>
      </c>
      <c r="E234" s="47" t="n">
        <f aca="false">E228*(Inputs!$C$144+(Inputs!$C$145-Inputs!$C$144)*2/3)</f>
        <v>6.54297513554667</v>
      </c>
      <c r="F234" s="47" t="n">
        <f aca="false">F228*(Inputs!$C$144+(Inputs!$C$145-Inputs!$C$144)*3/3)</f>
        <v>7.9511796348688</v>
      </c>
    </row>
    <row r="235" customFormat="false" ht="15" hidden="false" customHeight="false" outlineLevel="0" collapsed="false">
      <c r="A235" s="10" t="s">
        <v>612</v>
      </c>
      <c r="C235" s="47" t="n">
        <f aca="false">C229*(Inputs!$C$146+(Inputs!$C$147-Inputs!$C$146)*0/3)</f>
        <v>-0</v>
      </c>
      <c r="D235" s="47" t="n">
        <f aca="false">D229*(Inputs!$C$146+(Inputs!$C$147-Inputs!$C$146)*1/3)</f>
        <v>0</v>
      </c>
      <c r="E235" s="47" t="n">
        <f aca="false">E229*(Inputs!$C$146+(Inputs!$C$147-Inputs!$C$146)*2/3)</f>
        <v>0</v>
      </c>
      <c r="F235" s="47" t="n">
        <f aca="false">F229*(Inputs!$C$146+(Inputs!$C$147-Inputs!$C$146)*3/3)</f>
        <v>0</v>
      </c>
    </row>
    <row r="236" customFormat="false" ht="15" hidden="false" customHeight="false" outlineLevel="0" collapsed="false">
      <c r="A236" s="10" t="s">
        <v>505</v>
      </c>
      <c r="C236" s="47" t="n">
        <f aca="false">C232+C233+C234+C235</f>
        <v>19.8642678</v>
      </c>
      <c r="D236" s="47" t="n">
        <f aca="false">D232+D233+D234+D235</f>
        <v>23.1745288033333</v>
      </c>
      <c r="E236" s="47" t="n">
        <f aca="false">E232+E233+E234+E235</f>
        <v>27.0094701355467</v>
      </c>
      <c r="F236" s="47" t="n">
        <f aca="false">F232+F233+F234+F235</f>
        <v>31.4649235192438</v>
      </c>
    </row>
    <row r="237" customFormat="false" ht="15" hidden="false" customHeight="false" outlineLevel="0" collapsed="false">
      <c r="A237" s="10" t="s">
        <v>613</v>
      </c>
      <c r="B237" s="47" t="n">
        <f aca="false">(Inputs!$C$120+Inputs!$C$121+Inputs!$C$122)*Inputs!$C$148</f>
        <v>1.188</v>
      </c>
      <c r="C237" s="47" t="n">
        <f aca="false">C230*Inputs!$C$148</f>
        <v>4.6515392</v>
      </c>
      <c r="D237" s="47" t="n">
        <f aca="false">D230*Inputs!$C$148</f>
        <v>5.077968776</v>
      </c>
      <c r="E237" s="47" t="n">
        <f aca="false">E230*Inputs!$C$148</f>
        <v>5.56230213368</v>
      </c>
      <c r="F237" s="47" t="n">
        <f aca="false">F230*Inputs!$C$148</f>
        <v>6.1143570430424</v>
      </c>
    </row>
    <row r="238" customFormat="false" ht="15" hidden="false" customHeight="false" outlineLevel="0" collapsed="false">
      <c r="A238" s="10" t="s">
        <v>614</v>
      </c>
      <c r="B238" s="26" t="n">
        <v>0</v>
      </c>
      <c r="C238" s="26" t="n">
        <v>0</v>
      </c>
      <c r="D238" s="26" t="n">
        <v>0</v>
      </c>
      <c r="E238" s="26" t="n">
        <v>0</v>
      </c>
      <c r="F238" s="26" t="n">
        <v>0</v>
      </c>
    </row>
    <row r="239" customFormat="false" ht="15" hidden="false" customHeight="false" outlineLevel="0" collapsed="false">
      <c r="A239" s="10" t="s">
        <v>615</v>
      </c>
      <c r="B239" s="47" t="n">
        <f aca="false">Historicals!$C$76+Inputs!$B$53/4</f>
        <v>6.748</v>
      </c>
      <c r="C239" s="47" t="n">
        <f aca="false">Inputs!$B$53*MAX(0,MIN(1,(Inputs!$B$57-1+0.5)/Inputs!$B$57))+$B243*IF(1&lt;=Inputs!$B$49,1,0)/Inputs!$B$49+C242*0.5/Inputs!$B$49</f>
        <v>8.29448176666667</v>
      </c>
      <c r="D239" s="47" t="n">
        <f aca="false">Inputs!$B$53*MAX(0,MIN(1,(Inputs!$B$57-2+0.5)/Inputs!$B$57))+$B243*IF(2&lt;=Inputs!$B$49,1,0)/Inputs!$B$49+C242*IF(1&lt;=Inputs!$B$49-1,1,IF(1=Inputs!$B$49,0.5,0))/Inputs!$B$49+D242*0.5/Inputs!$B$49</f>
        <v>9.62197688591667</v>
      </c>
      <c r="E239" s="47" t="n">
        <f aca="false">Inputs!$B$53*MAX(0,MIN(1,(Inputs!$B$57-3+0.5)/Inputs!$B$57))+$B243*IF(3&lt;=Inputs!$B$49,1,0)/Inputs!$B$49+C242*IF(2&lt;=Inputs!$B$49-1,1,IF(2=Inputs!$B$49,0.5,0))/Inputs!$B$49+D242*IF(1&lt;=Inputs!$B$49-1,1,IF(1=Inputs!$B$49,0.5,0))/Inputs!$B$49+E242*0.5/Inputs!$B$49</f>
        <v>10.9016901732963</v>
      </c>
      <c r="F239" s="47" t="n">
        <f aca="false">Inputs!$B$53*MAX(0,MIN(1,(Inputs!$B$57-4+0.5)/Inputs!$B$57))+$B243*IF(4&lt;=Inputs!$B$49,1,0)/Inputs!$B$49+C242*IF(3&lt;=Inputs!$B$49-1,1,IF(3=Inputs!$B$49,0.5,0))/Inputs!$B$49+D242*IF(2&lt;=Inputs!$B$49-1,1,IF(2=Inputs!$B$49,0.5,0))/Inputs!$B$49+E242*IF(1&lt;=Inputs!$B$49-1,1,IF(1=Inputs!$B$49,0.5,0))/Inputs!$B$49+F242*0.5/Inputs!$B$49</f>
        <v>12.1112487203296</v>
      </c>
    </row>
    <row r="240" customFormat="false" ht="15" hidden="false" customHeight="false" outlineLevel="0" collapsed="false">
      <c r="A240" s="13" t="s">
        <v>513</v>
      </c>
      <c r="B240" s="18" t="n">
        <f aca="false">Historicals!$C$72+(Inputs!$C$120+Inputs!$C$121+Inputs!$C$122)*Inputs!$C$123</f>
        <v>2.948</v>
      </c>
      <c r="C240" s="18" t="n">
        <f aca="false">C236-C237-C239</f>
        <v>6.91824683333333</v>
      </c>
      <c r="D240" s="18" t="n">
        <f aca="false">D236-D237-D239</f>
        <v>8.47458314141667</v>
      </c>
      <c r="E240" s="18" t="n">
        <f aca="false">E236-E237-E239</f>
        <v>10.5454778285704</v>
      </c>
      <c r="F240" s="18" t="n">
        <f aca="false">F236-F237-F239</f>
        <v>13.2393177558718</v>
      </c>
    </row>
    <row r="241" customFormat="false" ht="15" hidden="false" customHeight="false" outlineLevel="0" collapsed="false">
      <c r="A241" s="10" t="s">
        <v>514</v>
      </c>
      <c r="B241" s="19" t="n">
        <f aca="false">IFERROR(B240/B230,0)</f>
        <v>0.0272033515119638</v>
      </c>
      <c r="C241" s="19" t="n">
        <f aca="false">IFERROR(C240/C230,0)</f>
        <v>0.0594921081893351</v>
      </c>
      <c r="D241" s="19" t="n">
        <f aca="false">IFERROR(D240/D230,0)</f>
        <v>0.0667556931934681</v>
      </c>
      <c r="E241" s="19" t="n">
        <f aca="false">IFERROR(E240/E230,0)</f>
        <v>0.0758353471287872</v>
      </c>
      <c r="F241" s="19" t="n">
        <f aca="false">IFERROR(F240/F230,0)</f>
        <v>0.0866113487496577</v>
      </c>
    </row>
    <row r="242" customFormat="false" ht="15" hidden="false" customHeight="false" outlineLevel="0" collapsed="false">
      <c r="A242" s="10" t="s">
        <v>616</v>
      </c>
      <c r="B242" s="47" t="n">
        <f aca="false">Inputs!$B$58</f>
        <v>20</v>
      </c>
      <c r="C242" s="47" t="n">
        <f aca="false">C230*(Inputs!$C$149+(Inputs!$C$150-Inputs!$C$149)*0/3)</f>
        <v>19.7690416</v>
      </c>
      <c r="D242" s="47" t="n">
        <f aca="false">D230*(Inputs!$C$149+(Inputs!$C$150-Inputs!$C$149)*1/3)</f>
        <v>19.4655469746667</v>
      </c>
      <c r="E242" s="47" t="n">
        <f aca="false">E230*(Inputs!$C$149+(Inputs!$C$150-Inputs!$C$149)*2/3)</f>
        <v>19.0045322900733</v>
      </c>
      <c r="F242" s="47" t="n">
        <f aca="false">F230*(Inputs!$C$149+(Inputs!$C$150-Inputs!$C$149)*3/3)</f>
        <v>18.3430711291272</v>
      </c>
    </row>
    <row r="243" customFormat="false" ht="15" hidden="false" customHeight="false" outlineLevel="0" collapsed="false">
      <c r="A243" s="10" t="s">
        <v>617</v>
      </c>
      <c r="B243" s="47" t="n">
        <f aca="false">Inputs!$B$58-Historicals!$C$78</f>
        <v>6.986</v>
      </c>
    </row>
    <row r="244" customFormat="false" ht="15" hidden="false" customHeight="false" outlineLevel="0" collapsed="false">
      <c r="A244" s="10" t="s">
        <v>618</v>
      </c>
      <c r="C244" s="48" t="n">
        <f aca="false">IFERROR(C242/C239,0)</f>
        <v>2.38339683612864</v>
      </c>
      <c r="D244" s="48" t="n">
        <f aca="false">IFERROR(D242/D239,0)</f>
        <v>2.02302990388157</v>
      </c>
      <c r="E244" s="48" t="n">
        <f aca="false">IFERROR(E242/E239,0)</f>
        <v>1.7432647587642</v>
      </c>
      <c r="F244" s="48" t="n">
        <f aca="false">IFERROR(F242/F239,0)</f>
        <v>1.51454829743006</v>
      </c>
    </row>
    <row r="245" customFormat="false" ht="15" hidden="false" customHeight="false" outlineLevel="0" collapsed="false">
      <c r="A245" s="10" t="s">
        <v>523</v>
      </c>
      <c r="B245" s="47" t="n">
        <f aca="false">B240-Inputs!$B$38*B242+Inputs!$B$38*B239</f>
        <v>-5.0032</v>
      </c>
      <c r="C245" s="47" t="n">
        <f aca="false">C240-Inputs!$B$38*C242+Inputs!$B$38*C239</f>
        <v>0.0335109333333321</v>
      </c>
      <c r="D245" s="47" t="n">
        <f aca="false">D240-Inputs!$B$38*D242+Inputs!$B$38*D239</f>
        <v>2.56844108816666</v>
      </c>
      <c r="E245" s="47" t="n">
        <f aca="false">E240-Inputs!$B$38*E242+Inputs!$B$38*E239</f>
        <v>5.68377255850417</v>
      </c>
      <c r="F245" s="47" t="n">
        <f aca="false">F240-Inputs!$B$38*F242+Inputs!$B$38*F239</f>
        <v>9.50022431059323</v>
      </c>
    </row>
    <row r="246" customFormat="false" ht="15" hidden="false" customHeight="false" outlineLevel="0" collapsed="false">
      <c r="A246" s="10" t="s">
        <v>524</v>
      </c>
      <c r="B246" s="47" t="n">
        <f aca="false">MIN(0,MAX(0,B245),1E+099)</f>
        <v>0</v>
      </c>
      <c r="C246" s="47" t="n">
        <f aca="false">MIN(B248,MAX(0,C245),1E+099)</f>
        <v>0.0335109333333321</v>
      </c>
      <c r="D246" s="47" t="n">
        <f aca="false">MIN(C248,MAX(0,D245),1E+099)</f>
        <v>2.56844108816666</v>
      </c>
      <c r="E246" s="47" t="n">
        <f aca="false">MIN(D248,MAX(0,E245),1E+099)</f>
        <v>2.40124797850001</v>
      </c>
      <c r="F246" s="47" t="n">
        <f aca="false">MIN(E248,MAX(0,F245),1E+099)</f>
        <v>0</v>
      </c>
    </row>
    <row r="247" customFormat="false" ht="15" hidden="false" customHeight="false" outlineLevel="0" collapsed="false">
      <c r="A247" s="10" t="s">
        <v>525</v>
      </c>
      <c r="B247" s="47" t="n">
        <f aca="false">MIN(0,MAX(0,B245)-B246)</f>
        <v>0</v>
      </c>
      <c r="C247" s="47" t="n">
        <f aca="false">MIN(B249,MAX(0,C245)-C246)</f>
        <v>0</v>
      </c>
      <c r="D247" s="47" t="n">
        <f aca="false">MIN(C249,MAX(0,D245)-D246)</f>
        <v>0</v>
      </c>
      <c r="E247" s="47" t="n">
        <f aca="false">MIN(D249,MAX(0,E245)-E246)</f>
        <v>0</v>
      </c>
      <c r="F247" s="47" t="n">
        <f aca="false">MIN(E249,MAX(0,F245)-F246)</f>
        <v>0</v>
      </c>
    </row>
    <row r="248" customFormat="false" ht="15" hidden="false" customHeight="false" outlineLevel="0" collapsed="false">
      <c r="A248" s="10" t="s">
        <v>526</v>
      </c>
      <c r="B248" s="47" t="n">
        <f aca="false">0-B246+MAX(0,-B245)</f>
        <v>5.0032</v>
      </c>
      <c r="C248" s="47" t="n">
        <f aca="false">B248-C246</f>
        <v>4.96968906666667</v>
      </c>
      <c r="D248" s="47" t="n">
        <f aca="false">C248-D246</f>
        <v>2.40124797850001</v>
      </c>
      <c r="E248" s="47" t="n">
        <f aca="false">D248-E246</f>
        <v>0</v>
      </c>
      <c r="F248" s="47" t="n">
        <f aca="false">E248-F246</f>
        <v>0</v>
      </c>
    </row>
    <row r="249" customFormat="false" ht="15" hidden="false" customHeight="false" outlineLevel="0" collapsed="false">
      <c r="A249" s="10" t="s">
        <v>527</v>
      </c>
      <c r="B249" s="26" t="n">
        <v>0</v>
      </c>
      <c r="C249" s="47" t="n">
        <f aca="false">B249-C247+MAX(0,-C245)</f>
        <v>0</v>
      </c>
      <c r="D249" s="47" t="n">
        <f aca="false">C249-D247+MAX(0,-D245)</f>
        <v>0</v>
      </c>
      <c r="E249" s="47" t="n">
        <f aca="false">D249-E247+MAX(0,-E245)</f>
        <v>0</v>
      </c>
      <c r="F249" s="47" t="n">
        <f aca="false">E249-F247+MAX(0,-F245)</f>
        <v>0</v>
      </c>
    </row>
    <row r="250" customFormat="false" ht="15" hidden="false" customHeight="false" outlineLevel="0" collapsed="false">
      <c r="A250" s="10" t="s">
        <v>528</v>
      </c>
      <c r="B250" s="47" t="n">
        <f aca="false">MAX(0,B245-B246-B247)*Inputs!$B$34</f>
        <v>0</v>
      </c>
      <c r="C250" s="47" t="n">
        <f aca="false">MAX(0,C245-C246-C247)*Inputs!$B$34</f>
        <v>0</v>
      </c>
      <c r="D250" s="47" t="n">
        <f aca="false">MAX(0,D245-D246-D247)*Inputs!$B$34</f>
        <v>0</v>
      </c>
      <c r="E250" s="47" t="n">
        <f aca="false">MAX(0,E245-E246-E247)*Inputs!$B$34</f>
        <v>0.131300983200167</v>
      </c>
      <c r="F250" s="47" t="n">
        <f aca="false">MAX(0,F245-F246-F247)*Inputs!$B$34</f>
        <v>0.380008972423729</v>
      </c>
    </row>
    <row r="251" customFormat="false" ht="15" hidden="false" customHeight="false" outlineLevel="0" collapsed="false">
      <c r="A251" s="10" t="s">
        <v>529</v>
      </c>
      <c r="B251" s="47" t="n">
        <f aca="false">B245-B250</f>
        <v>-5.0032</v>
      </c>
      <c r="C251" s="47" t="n">
        <f aca="false">C245-C250</f>
        <v>0.0335109333333321</v>
      </c>
      <c r="D251" s="47" t="n">
        <f aca="false">D245-D250</f>
        <v>2.56844108816666</v>
      </c>
      <c r="E251" s="47" t="n">
        <f aca="false">E245-E250</f>
        <v>5.552471575304</v>
      </c>
      <c r="F251" s="47" t="n">
        <f aca="false">F245-F250</f>
        <v>9.12021533816951</v>
      </c>
    </row>
    <row r="252" customFormat="false" ht="15" hidden="false" customHeight="false" outlineLevel="0" collapsed="false">
      <c r="A252" s="10" t="s">
        <v>530</v>
      </c>
      <c r="B252" s="47" t="n">
        <f aca="false">MIN(Inputs!$B$39,Inputs!$B$35*MAX(0,B251),1E+099)</f>
        <v>0</v>
      </c>
      <c r="C252" s="47" t="n">
        <f aca="false">MIN(B254,Inputs!$B$35*MAX(0,C251),1E+099)</f>
        <v>0.0268087466666657</v>
      </c>
      <c r="D252" s="47" t="n">
        <f aca="false">MIN(C254,Inputs!$B$35*MAX(0,D251),1E+099)</f>
        <v>2.05475287053333</v>
      </c>
      <c r="E252" s="47" t="n">
        <f aca="false">MIN(D254,Inputs!$B$35*MAX(0,E251),1E+099)</f>
        <v>2.9216383828</v>
      </c>
      <c r="F252" s="47" t="n">
        <f aca="false">MIN(E254,Inputs!$B$35*MAX(0,F251),1E+099)</f>
        <v>0</v>
      </c>
    </row>
    <row r="253" customFormat="false" ht="15" hidden="false" customHeight="false" outlineLevel="0" collapsed="false">
      <c r="A253" s="10" t="s">
        <v>531</v>
      </c>
      <c r="B253" s="47" t="n">
        <f aca="false">MIN(0,Inputs!$B$35*MAX(0,B251)-B252)</f>
        <v>0</v>
      </c>
      <c r="C253" s="47" t="n">
        <f aca="false">MIN(B255,Inputs!$B$35*MAX(0,C251)-C252)</f>
        <v>0</v>
      </c>
      <c r="D253" s="47" t="n">
        <f aca="false">MIN(C255,Inputs!$B$35*MAX(0,D251)-D252)</f>
        <v>0</v>
      </c>
      <c r="E253" s="47" t="n">
        <f aca="false">MIN(D255,Inputs!$B$35*MAX(0,E251)-E252)</f>
        <v>0</v>
      </c>
      <c r="F253" s="47" t="n">
        <f aca="false">MIN(E255,Inputs!$B$35*MAX(0,F251)-F252)</f>
        <v>0</v>
      </c>
    </row>
    <row r="254" customFormat="false" ht="15" hidden="false" customHeight="false" outlineLevel="0" collapsed="false">
      <c r="A254" s="10" t="s">
        <v>532</v>
      </c>
      <c r="B254" s="47" t="n">
        <f aca="false">Inputs!$B$39-B252+MAX(0,-B251)</f>
        <v>5.0032</v>
      </c>
      <c r="C254" s="47" t="n">
        <f aca="false">B254-C252</f>
        <v>4.97639125333333</v>
      </c>
      <c r="D254" s="47" t="n">
        <f aca="false">C254-D252</f>
        <v>2.9216383828</v>
      </c>
      <c r="E254" s="47" t="n">
        <f aca="false">D254-E252</f>
        <v>0</v>
      </c>
      <c r="F254" s="47" t="n">
        <f aca="false">E254-F252</f>
        <v>0</v>
      </c>
    </row>
    <row r="255" customFormat="false" ht="15" hidden="false" customHeight="false" outlineLevel="0" collapsed="false">
      <c r="A255" s="10" t="s">
        <v>533</v>
      </c>
      <c r="B255" s="26" t="n">
        <v>0</v>
      </c>
      <c r="C255" s="47" t="n">
        <f aca="false">B255-C253+MAX(0,-C251)</f>
        <v>0</v>
      </c>
      <c r="D255" s="47" t="n">
        <f aca="false">C255-D253+MAX(0,-D251)</f>
        <v>0</v>
      </c>
      <c r="E255" s="47" t="n">
        <f aca="false">D255-E253+MAX(0,-E251)</f>
        <v>0</v>
      </c>
      <c r="F255" s="47" t="n">
        <f aca="false">E255-F253+MAX(0,-F251)</f>
        <v>0</v>
      </c>
    </row>
    <row r="256" customFormat="false" ht="15" hidden="false" customHeight="false" outlineLevel="0" collapsed="false">
      <c r="A256" s="10" t="s">
        <v>534</v>
      </c>
      <c r="B256" s="47" t="n">
        <f aca="false">MAX(0,B251-B252-B253)*Inputs!$B$33</f>
        <v>0</v>
      </c>
      <c r="C256" s="47" t="n">
        <f aca="false">MAX(0,C251-C252-C253)*Inputs!$B$33</f>
        <v>0.00140745919999995</v>
      </c>
      <c r="D256" s="47" t="n">
        <f aca="false">MAX(0,D251-D252-D253)*Inputs!$B$33</f>
        <v>0.107874525703</v>
      </c>
      <c r="E256" s="47" t="n">
        <f aca="false">MAX(0,E251-E252-E253)*Inputs!$B$33</f>
        <v>0.55247497042584</v>
      </c>
      <c r="F256" s="47" t="n">
        <f aca="false">MAX(0,F251-F252-F253)*Inputs!$B$33</f>
        <v>1.9152452210156</v>
      </c>
    </row>
    <row r="257" customFormat="false" ht="15" hidden="false" customHeight="false" outlineLevel="0" collapsed="false">
      <c r="A257" s="10" t="s">
        <v>535</v>
      </c>
      <c r="B257" s="47" t="n">
        <f aca="false">MIN(0,B256,MAX(0,1E+099-B252)*Inputs!$B$33)</f>
        <v>0</v>
      </c>
      <c r="C257" s="47" t="n">
        <f aca="false">MIN(B258,C256,MAX(0,1E+099-C252)*Inputs!$B$33)</f>
        <v>0</v>
      </c>
      <c r="D257" s="47" t="n">
        <f aca="false">MIN(C258,D256,MAX(0,1E+099-D252)*Inputs!$B$33)</f>
        <v>0</v>
      </c>
      <c r="E257" s="47" t="n">
        <f aca="false">MIN(D258,E256,MAX(0,1E+099-E252)*Inputs!$B$33)</f>
        <v>0</v>
      </c>
      <c r="F257" s="47" t="n">
        <f aca="false">MIN(E258,F256,MAX(0,1E+099-F252)*Inputs!$B$33)</f>
        <v>0</v>
      </c>
    </row>
    <row r="258" customFormat="false" ht="15" hidden="false" customHeight="false" outlineLevel="0" collapsed="false">
      <c r="A258" s="10" t="s">
        <v>536</v>
      </c>
      <c r="B258" s="47" t="n">
        <f aca="false">0-B257</f>
        <v>0</v>
      </c>
      <c r="C258" s="47" t="n">
        <f aca="false">B258-C257</f>
        <v>0</v>
      </c>
      <c r="D258" s="47" t="n">
        <f aca="false">C258-D257</f>
        <v>0</v>
      </c>
      <c r="E258" s="47" t="n">
        <f aca="false">D258-E257</f>
        <v>0</v>
      </c>
      <c r="F258" s="47" t="n">
        <f aca="false">E258-F257</f>
        <v>0</v>
      </c>
    </row>
    <row r="259" customFormat="false" ht="15" hidden="false" customHeight="false" outlineLevel="0" collapsed="false">
      <c r="A259" s="13" t="s">
        <v>537</v>
      </c>
      <c r="B259" s="18" t="n">
        <f aca="false">MAX(0,(Inputs!$C$120+Inputs!$C$121+Inputs!$C$122)*Inputs!$C$123)*Inputs!$B$41</f>
        <v>0.13365</v>
      </c>
      <c r="C259" s="18" t="n">
        <f aca="false">C256-C257+C250</f>
        <v>0.00140745919999995</v>
      </c>
      <c r="D259" s="18" t="n">
        <f aca="false">D256-D257+D250</f>
        <v>0.107874525703</v>
      </c>
      <c r="E259" s="18" t="n">
        <f aca="false">E256-E257+E250</f>
        <v>0.683775953626006</v>
      </c>
      <c r="F259" s="18" t="n">
        <f aca="false">F256-F257+F250</f>
        <v>2.29525419343933</v>
      </c>
    </row>
    <row r="260" customFormat="false" ht="15" hidden="false" customHeight="false" outlineLevel="0" collapsed="false">
      <c r="A260" s="10" t="s">
        <v>538</v>
      </c>
      <c r="B260" s="47" t="n">
        <f aca="false">0+Inputs!$B$38*(B242-B239)</f>
        <v>7.9512</v>
      </c>
      <c r="C260" s="47" t="n">
        <f aca="false">B260+Inputs!$B$38*(C242-C239)</f>
        <v>14.8359359</v>
      </c>
      <c r="D260" s="47" t="n">
        <f aca="false">C260+Inputs!$B$38*(D242-D239)</f>
        <v>20.74207795325</v>
      </c>
      <c r="E260" s="47" t="n">
        <f aca="false">D260+Inputs!$B$38*(E242-E239)</f>
        <v>25.6037832233163</v>
      </c>
      <c r="F260" s="47" t="n">
        <f aca="false">E260+Inputs!$B$38*(F242-F239)</f>
        <v>29.3428766685948</v>
      </c>
    </row>
    <row r="261" customFormat="false" ht="15" hidden="false" customHeight="false" outlineLevel="0" collapsed="false">
      <c r="A261" s="10" t="s">
        <v>539</v>
      </c>
      <c r="B261" s="47" t="n">
        <f aca="false">B260*Inputs!$B$79</f>
        <v>1.92100992</v>
      </c>
      <c r="C261" s="47" t="n">
        <f aca="false">C260*Inputs!$B$79</f>
        <v>3.58436211344</v>
      </c>
      <c r="D261" s="47" t="n">
        <f aca="false">D260*Inputs!$B$79</f>
        <v>5.0112860335052</v>
      </c>
      <c r="E261" s="47" t="n">
        <f aca="false">E260*Inputs!$B$79</f>
        <v>6.18587402675321</v>
      </c>
      <c r="F261" s="47" t="n">
        <f aca="false">F260*Inputs!$B$79</f>
        <v>7.0892390031325</v>
      </c>
    </row>
    <row r="262" customFormat="false" ht="15" hidden="false" customHeight="false" outlineLevel="0" collapsed="false">
      <c r="A262" s="10" t="s">
        <v>540</v>
      </c>
      <c r="C262" s="47" t="n">
        <f aca="false">C240-C259</f>
        <v>6.91683937413333</v>
      </c>
      <c r="D262" s="47" t="n">
        <f aca="false">D240-D259</f>
        <v>8.36670861571367</v>
      </c>
      <c r="E262" s="47" t="n">
        <f aca="false">E240-E259</f>
        <v>9.86170187494441</v>
      </c>
      <c r="F262" s="47" t="n">
        <f aca="false">F240-F259</f>
        <v>10.9440635624325</v>
      </c>
    </row>
    <row r="263" customFormat="false" ht="15" hidden="false" customHeight="false" outlineLevel="0" collapsed="false">
      <c r="A263" s="10" t="s">
        <v>541</v>
      </c>
      <c r="C263" s="47" t="n">
        <f aca="false">Inputs!$B$65*(C230-B230)</f>
        <v>0</v>
      </c>
      <c r="D263" s="47" t="n">
        <f aca="false">Inputs!$B$65*(D230-C230)</f>
        <v>0</v>
      </c>
      <c r="E263" s="47" t="n">
        <f aca="false">Inputs!$B$65*(E230-D230)</f>
        <v>0</v>
      </c>
      <c r="F263" s="47" t="n">
        <f aca="false">Inputs!$B$65*(F230-E230)</f>
        <v>0</v>
      </c>
    </row>
    <row r="264" customFormat="false" ht="15" hidden="false" customHeight="false" outlineLevel="0" collapsed="false">
      <c r="A264" s="13" t="s">
        <v>542</v>
      </c>
      <c r="B264" s="18" t="n">
        <f aca="false">B265-B237</f>
        <v>-4.54165</v>
      </c>
      <c r="C264" s="18" t="n">
        <f aca="false">C240+C239-C259-C242-C263</f>
        <v>-4.5577204592</v>
      </c>
      <c r="D264" s="18" t="n">
        <f aca="false">D240+D239-D259-D242-D263</f>
        <v>-1.47686147303634</v>
      </c>
      <c r="E264" s="18" t="n">
        <f aca="false">E240+E239-E259-E242-E263</f>
        <v>1.75885975816733</v>
      </c>
      <c r="F264" s="18" t="n">
        <f aca="false">F240+F239-F259-F242-F263</f>
        <v>4.71224115363487</v>
      </c>
    </row>
    <row r="265" customFormat="false" ht="15" hidden="false" customHeight="false" outlineLevel="0" collapsed="false">
      <c r="A265" s="10" t="s">
        <v>543</v>
      </c>
      <c r="B265" s="47" t="n">
        <f aca="false">(Inputs!$C$120+Inputs!$C$121+Inputs!$C$122)*Inputs!$C$123+Inputs!$B$53/4+B237-B259-B243</f>
        <v>-3.35365</v>
      </c>
      <c r="C265" s="47" t="n">
        <f aca="false">C264+C237+C238</f>
        <v>0.0938187407999997</v>
      </c>
      <c r="D265" s="47" t="n">
        <f aca="false">D264+D237+D238</f>
        <v>3.60110730296366</v>
      </c>
      <c r="E265" s="47" t="n">
        <f aca="false">E264+E237+E238</f>
        <v>7.32116189184733</v>
      </c>
      <c r="F265" s="47" t="n">
        <f aca="false">F264+F237+F238</f>
        <v>10.8265981966773</v>
      </c>
    </row>
    <row r="266" customFormat="false" ht="15" hidden="false" customHeight="false" outlineLevel="0" collapsed="false">
      <c r="A266" s="10" t="s">
        <v>544</v>
      </c>
      <c r="B266" s="47" t="n">
        <f aca="false">Historicals!$B$87</f>
        <v>45.447</v>
      </c>
      <c r="C266" s="47" t="n">
        <f aca="false">B277</f>
        <v>42.3896884422111</v>
      </c>
      <c r="D266" s="47" t="n">
        <f aca="false">C277</f>
        <v>43.6325723998523</v>
      </c>
      <c r="E266" s="47" t="n">
        <f aca="false">D277</f>
        <v>48.5050521947072</v>
      </c>
      <c r="F266" s="47" t="n">
        <f aca="false">E277</f>
        <v>57.3723827861721</v>
      </c>
    </row>
    <row r="267" customFormat="false" ht="15" hidden="false" customHeight="false" outlineLevel="0" collapsed="false">
      <c r="A267" s="10" t="s">
        <v>545</v>
      </c>
      <c r="B267" s="47" t="n">
        <f aca="false">Historicals!$B$88</f>
        <v>9.523</v>
      </c>
      <c r="C267" s="47" t="n">
        <f aca="false">B278</f>
        <v>9.523</v>
      </c>
      <c r="D267" s="47" t="n">
        <f aca="false">C278</f>
        <v>9.523</v>
      </c>
      <c r="E267" s="47" t="n">
        <f aca="false">D278</f>
        <v>9.523</v>
      </c>
      <c r="F267" s="47" t="n">
        <f aca="false">E278</f>
        <v>9.523</v>
      </c>
    </row>
    <row r="268" customFormat="false" ht="15" hidden="false" customHeight="false" outlineLevel="0" collapsed="false">
      <c r="A268" s="10" t="s">
        <v>546</v>
      </c>
      <c r="B268" s="26" t="n">
        <v>0</v>
      </c>
      <c r="C268" s="47" t="n">
        <f aca="false">Inputs!$B$63</f>
        <v>0</v>
      </c>
      <c r="D268" s="26" t="n">
        <v>0</v>
      </c>
      <c r="E268" s="26" t="n">
        <v>0</v>
      </c>
      <c r="F268" s="26" t="n">
        <v>0</v>
      </c>
    </row>
    <row r="269" customFormat="false" ht="15" hidden="false" customHeight="false" outlineLevel="0" collapsed="false">
      <c r="A269" s="10" t="s">
        <v>547</v>
      </c>
      <c r="B269" s="47" t="n">
        <f aca="false">(B266+B265-B268+Inputs!$B$60/4*B266/2-Inputs!$B$61/4*(B267-B268/2))/(1-Inputs!$B$60/4/2)</f>
        <v>42.3896884422111</v>
      </c>
      <c r="C269" s="47" t="n">
        <f aca="false">(C266+C265-C268+Inputs!$B$60*C266/2-Inputs!$B$61*(C267-C268/2))/(1-Inputs!$B$60/2)</f>
        <v>43.6325723998523</v>
      </c>
      <c r="D269" s="47" t="n">
        <f aca="false">(D266+D265-D268+Inputs!$B$60*D266/2-Inputs!$B$61*(D267-D268/2))/(1-Inputs!$B$60/2)</f>
        <v>48.5050521947072</v>
      </c>
      <c r="E269" s="47" t="n">
        <f aca="false">(E266+E265-E268+Inputs!$B$60*E266/2-Inputs!$B$61*(E267-E268/2))/(1-Inputs!$B$60/2)</f>
        <v>57.3723827861721</v>
      </c>
      <c r="F269" s="47" t="n">
        <f aca="false">(F266+F265-F268+Inputs!$B$60*F266/2-Inputs!$B$61*(F267-F268/2))/(1-Inputs!$B$60/2)</f>
        <v>70.1786210597682</v>
      </c>
    </row>
    <row r="270" customFormat="false" ht="15" hidden="false" customHeight="false" outlineLevel="0" collapsed="false">
      <c r="A270" s="10" t="s">
        <v>548</v>
      </c>
      <c r="B270" s="47" t="n">
        <f aca="false">IF(B269&gt;=Inputs!$B$67,0,(Inputs!$B$67-B266-B265+B268-Inputs!$B$60/4*(B266+Inputs!$B$67)/2+Inputs!$B$61/4*(B267-B268/2))/(1-Inputs!$B$61/4*Inputs!$B$69/(2*(1-Inputs!$B$70))))</f>
        <v>0</v>
      </c>
      <c r="C270" s="47" t="n">
        <f aca="false">IF(C269&gt;=Inputs!$B$67,0,(Inputs!$B$67-C266-C265+C268-Inputs!$B$60*(C266+Inputs!$B$67)/2+Inputs!$B$61*(C267-C268/2))/(1-Inputs!$B$61*Inputs!$B$69/(2*(1-Inputs!$B$70))))</f>
        <v>0</v>
      </c>
      <c r="D270" s="47" t="n">
        <f aca="false">IF(D269&gt;=Inputs!$B$67,0,(Inputs!$B$67-D266-D265+D268-Inputs!$B$60*(D266+Inputs!$B$67)/2+Inputs!$B$61*(D267-D268/2))/(1-Inputs!$B$61*Inputs!$B$69/(2*(1-Inputs!$B$70))))</f>
        <v>0</v>
      </c>
      <c r="E270" s="47" t="n">
        <f aca="false">IF(E269&gt;=Inputs!$B$67,0,(Inputs!$B$67-E266-E265+E268-Inputs!$B$60*(E266+Inputs!$B$67)/2+Inputs!$B$61*(E267-E268/2))/(1-Inputs!$B$61*Inputs!$B$69/(2*(1-Inputs!$B$70))))</f>
        <v>0</v>
      </c>
      <c r="F270" s="47" t="n">
        <f aca="false">IF(F269&gt;=Inputs!$B$67,0,(Inputs!$B$67-F266-F265+F268-Inputs!$B$60*(F266+Inputs!$B$67)/2+Inputs!$B$61*(F267-F268/2))/(1-Inputs!$B$61*Inputs!$B$69/(2*(1-Inputs!$B$70))))</f>
        <v>0</v>
      </c>
    </row>
    <row r="271" customFormat="false" ht="15" hidden="false" customHeight="false" outlineLevel="0" collapsed="false">
      <c r="A271" s="10" t="s">
        <v>549</v>
      </c>
      <c r="B271" s="47" t="n">
        <f aca="false">B270/(1-Inputs!$B$70)</f>
        <v>0</v>
      </c>
      <c r="C271" s="47" t="n">
        <f aca="false">C270/(1-Inputs!$B$70)</f>
        <v>0</v>
      </c>
      <c r="D271" s="47" t="n">
        <f aca="false">D270/(1-Inputs!$B$70)</f>
        <v>0</v>
      </c>
      <c r="E271" s="47" t="n">
        <f aca="false">E270/(1-Inputs!$B$70)</f>
        <v>0</v>
      </c>
      <c r="F271" s="47" t="n">
        <f aca="false">F270/(1-Inputs!$B$70)</f>
        <v>0</v>
      </c>
    </row>
    <row r="272" customFormat="false" ht="15" hidden="false" customHeight="false" outlineLevel="0" collapsed="false">
      <c r="A272" s="10" t="s">
        <v>550</v>
      </c>
      <c r="B272" s="47" t="n">
        <f aca="false">B271*Inputs!$B$69</f>
        <v>0</v>
      </c>
      <c r="C272" s="47" t="n">
        <f aca="false">C271*Inputs!$B$69</f>
        <v>0</v>
      </c>
      <c r="D272" s="47" t="n">
        <f aca="false">D271*Inputs!$B$69</f>
        <v>0</v>
      </c>
      <c r="E272" s="47" t="n">
        <f aca="false">E271*Inputs!$B$69</f>
        <v>0</v>
      </c>
      <c r="F272" s="47" t="n">
        <f aca="false">F271*Inputs!$B$69</f>
        <v>0</v>
      </c>
    </row>
    <row r="273" customFormat="false" ht="15" hidden="false" customHeight="false" outlineLevel="0" collapsed="false">
      <c r="A273" s="10" t="s">
        <v>551</v>
      </c>
      <c r="B273" s="47" t="n">
        <f aca="false">B271-B272</f>
        <v>0</v>
      </c>
      <c r="C273" s="47" t="n">
        <f aca="false">C271-C272</f>
        <v>0</v>
      </c>
      <c r="D273" s="47" t="n">
        <f aca="false">D271-D272</f>
        <v>0</v>
      </c>
      <c r="E273" s="47" t="n">
        <f aca="false">E271-E272</f>
        <v>0</v>
      </c>
      <c r="F273" s="47" t="n">
        <f aca="false">F271-F272</f>
        <v>0</v>
      </c>
    </row>
    <row r="274" customFormat="false" ht="15" hidden="false" customHeight="false" outlineLevel="0" collapsed="false">
      <c r="A274" s="10" t="s">
        <v>552</v>
      </c>
      <c r="B274" s="47" t="n">
        <f aca="false">B271-B270</f>
        <v>0</v>
      </c>
      <c r="C274" s="47" t="n">
        <f aca="false">C271-C270</f>
        <v>0</v>
      </c>
      <c r="D274" s="47" t="n">
        <f aca="false">D271-D270</f>
        <v>0</v>
      </c>
      <c r="E274" s="47" t="n">
        <f aca="false">E271-E270</f>
        <v>0</v>
      </c>
      <c r="F274" s="47" t="n">
        <f aca="false">F271-F270</f>
        <v>0</v>
      </c>
    </row>
    <row r="275" customFormat="false" ht="15" hidden="false" customHeight="false" outlineLevel="0" collapsed="false">
      <c r="A275" s="10" t="s">
        <v>553</v>
      </c>
      <c r="B275" s="47" t="n">
        <f aca="false">Inputs!$B$60/4*(B266+B277)/2</f>
        <v>0.439183442211055</v>
      </c>
      <c r="C275" s="47" t="n">
        <f aca="false">Inputs!$B$60*(C266+C277)/2</f>
        <v>1.72044521684127</v>
      </c>
      <c r="D275" s="47" t="n">
        <f aca="false">Inputs!$B$60*(D266+D277)/2</f>
        <v>1.84275249189119</v>
      </c>
      <c r="E275" s="47" t="n">
        <f aca="false">Inputs!$B$60*(E266+E277)/2</f>
        <v>2.11754869961759</v>
      </c>
      <c r="F275" s="47" t="n">
        <f aca="false">Inputs!$B$60*(F266+F277)/2</f>
        <v>2.55102007691881</v>
      </c>
    </row>
    <row r="276" customFormat="false" ht="15" hidden="false" customHeight="false" outlineLevel="0" collapsed="false">
      <c r="A276" s="10" t="s">
        <v>554</v>
      </c>
      <c r="B276" s="47" t="n">
        <f aca="false">Inputs!$B$61/4*(B267-B268/2+B272/2)</f>
        <v>0.142845</v>
      </c>
      <c r="C276" s="47" t="n">
        <f aca="false">Inputs!$B$61*(C267-C268/2+C272/2)</f>
        <v>0.57138</v>
      </c>
      <c r="D276" s="47" t="n">
        <f aca="false">Inputs!$B$61*(D267-D268/2+D272/2)</f>
        <v>0.57138</v>
      </c>
      <c r="E276" s="47" t="n">
        <f aca="false">Inputs!$B$61*(E267-E268/2+E272/2)</f>
        <v>0.57138</v>
      </c>
      <c r="F276" s="47" t="n">
        <f aca="false">Inputs!$B$61*(F267-F268/2+F272/2)</f>
        <v>0.57138</v>
      </c>
    </row>
    <row r="277" customFormat="false" ht="15" hidden="false" customHeight="false" outlineLevel="0" collapsed="false">
      <c r="A277" s="13" t="s">
        <v>555</v>
      </c>
      <c r="B277" s="18" t="n">
        <f aca="false">IF(B270&gt;0,Inputs!$B$67,B269)</f>
        <v>42.3896884422111</v>
      </c>
      <c r="C277" s="18" t="n">
        <f aca="false">IF(C270&gt;0,Inputs!$B$67,C269)</f>
        <v>43.6325723998523</v>
      </c>
      <c r="D277" s="18" t="n">
        <f aca="false">IF(D270&gt;0,Inputs!$B$67,D269)</f>
        <v>48.5050521947072</v>
      </c>
      <c r="E277" s="18" t="n">
        <f aca="false">IF(E270&gt;0,Inputs!$B$67,E269)</f>
        <v>57.3723827861721</v>
      </c>
      <c r="F277" s="18" t="n">
        <f aca="false">IF(F270&gt;0,Inputs!$B$67,F269)</f>
        <v>70.1786210597682</v>
      </c>
    </row>
    <row r="278" customFormat="false" ht="15" hidden="false" customHeight="false" outlineLevel="0" collapsed="false">
      <c r="A278" s="10" t="s">
        <v>556</v>
      </c>
      <c r="B278" s="47" t="n">
        <f aca="false">B267-B268+B272</f>
        <v>9.523</v>
      </c>
      <c r="C278" s="47" t="n">
        <f aca="false">C267-C268+C272</f>
        <v>9.523</v>
      </c>
      <c r="D278" s="47" t="n">
        <f aca="false">D267-D268+D272</f>
        <v>9.523</v>
      </c>
      <c r="E278" s="47" t="n">
        <f aca="false">E267-E268+E272</f>
        <v>9.523</v>
      </c>
      <c r="F278" s="47" t="n">
        <f aca="false">F267-F268+F272</f>
        <v>9.523</v>
      </c>
    </row>
    <row r="279" customFormat="false" ht="15" hidden="false" customHeight="false" outlineLevel="0" collapsed="false">
      <c r="A279" s="13" t="s">
        <v>557</v>
      </c>
      <c r="B279" s="18" t="n">
        <f aca="false">B277-B278</f>
        <v>32.8666884422111</v>
      </c>
      <c r="C279" s="18" t="n">
        <f aca="false">C277-C278</f>
        <v>34.1095723998523</v>
      </c>
      <c r="D279" s="18" t="n">
        <f aca="false">D277-D278</f>
        <v>38.9820521947072</v>
      </c>
      <c r="E279" s="18" t="n">
        <f aca="false">E277-E278</f>
        <v>47.8493827861721</v>
      </c>
      <c r="F279" s="18" t="n">
        <f aca="false">F277-F278</f>
        <v>60.6556210597682</v>
      </c>
    </row>
    <row r="280" customFormat="false" ht="15" hidden="false" customHeight="false" outlineLevel="0" collapsed="false">
      <c r="A280" s="10" t="s">
        <v>558</v>
      </c>
      <c r="B280" s="33" t="n">
        <f aca="false">ROUND(B266+B265-B268+B275-B276+B270-B277,6)</f>
        <v>0</v>
      </c>
      <c r="C280" s="33" t="n">
        <f aca="false">ROUND(C266+C265-C268+C275-C276+C270-C277,6)</f>
        <v>0</v>
      </c>
      <c r="D280" s="33" t="n">
        <f aca="false">ROUND(D266+D265-D268+D275-D276+D270-D277,6)</f>
        <v>0</v>
      </c>
      <c r="E280" s="33" t="n">
        <f aca="false">ROUND(E266+E265-E268+E275-E276+E270-E277,6)</f>
        <v>0</v>
      </c>
      <c r="F280" s="33" t="n">
        <f aca="false">ROUND(F266+F265-F268+F275-F276+F270-F277,6)</f>
        <v>0</v>
      </c>
    </row>
    <row r="281" customFormat="false" ht="15" hidden="false" customHeight="false" outlineLevel="0" collapsed="false">
      <c r="A281" s="10" t="s">
        <v>559</v>
      </c>
      <c r="B281" s="47" t="n">
        <f aca="false">B271</f>
        <v>0</v>
      </c>
      <c r="C281" s="47" t="n">
        <f aca="false">B281+C271</f>
        <v>0</v>
      </c>
      <c r="D281" s="47" t="n">
        <f aca="false">C281+D271</f>
        <v>0</v>
      </c>
      <c r="E281" s="47" t="n">
        <f aca="false">D281+E271</f>
        <v>0</v>
      </c>
      <c r="F281" s="47" t="n">
        <f aca="false">E281+F271</f>
        <v>0</v>
      </c>
    </row>
    <row r="282" customFormat="false" ht="15" hidden="false" customHeight="false" outlineLevel="0" collapsed="false">
      <c r="A282" s="10" t="s">
        <v>560</v>
      </c>
      <c r="B282" s="49" t="str">
        <f aca="false">IF(B281&gt;Inputs!$B$73,"UNFUNDED: above limit",IF(B271&gt;0,"Raising","OK"))</f>
        <v>OK</v>
      </c>
      <c r="C282" s="49" t="str">
        <f aca="false">IF(C281&gt;Inputs!$B$73,"UNFUNDED: above limit",IF(C271&gt;0,"Raising","OK"))</f>
        <v>OK</v>
      </c>
      <c r="D282" s="49" t="str">
        <f aca="false">IF(D281&gt;Inputs!$B$73,"UNFUNDED: above limit",IF(D271&gt;0,"Raising","OK"))</f>
        <v>OK</v>
      </c>
      <c r="E282" s="49" t="str">
        <f aca="false">IF(E281&gt;Inputs!$B$73,"UNFUNDED: above limit",IF(E271&gt;0,"Raising","OK"))</f>
        <v>OK</v>
      </c>
      <c r="F282" s="49" t="str">
        <f aca="false">IF(F281&gt;Inputs!$B$73,"UNFUNDED: above limit",IF(F271&gt;0,"Raising","OK"))</f>
        <v>OK</v>
      </c>
    </row>
    <row r="283" customFormat="false" ht="15" hidden="false" customHeight="false" outlineLevel="0" collapsed="false">
      <c r="A283" s="10" t="s">
        <v>561</v>
      </c>
      <c r="B283" s="47" t="n">
        <f aca="false">$F$240</f>
        <v>13.2393177558718</v>
      </c>
    </row>
    <row r="284" customFormat="false" ht="15" hidden="false" customHeight="false" outlineLevel="0" collapsed="false">
      <c r="A284" s="10" t="s">
        <v>562</v>
      </c>
      <c r="B284" s="19" t="n">
        <f aca="false">IF(Inputs!$B$8=1,Inputs!$B$79,IFERROR($F$259/$F$240,0))</f>
        <v>0.2416</v>
      </c>
    </row>
    <row r="285" customFormat="false" ht="15" hidden="false" customHeight="false" outlineLevel="0" collapsed="false">
      <c r="A285" s="10" t="s">
        <v>563</v>
      </c>
      <c r="B285" s="47" t="n">
        <f aca="false">$B$283*(1-$B$284)</f>
        <v>10.0406985860532</v>
      </c>
    </row>
    <row r="286" customFormat="false" ht="15" hidden="false" customHeight="false" outlineLevel="0" collapsed="false">
      <c r="A286" s="10" t="s">
        <v>564</v>
      </c>
      <c r="B286" s="50" t="n">
        <f aca="false">Inputs!$C$152</f>
        <v>40</v>
      </c>
    </row>
    <row r="287" customFormat="false" ht="15" hidden="false" customHeight="false" outlineLevel="0" collapsed="false">
      <c r="A287" s="10" t="s">
        <v>565</v>
      </c>
      <c r="B287" s="47" t="n">
        <f aca="false">$B$285*$B$286*$F$527</f>
        <v>264.564766427485</v>
      </c>
    </row>
    <row r="288" customFormat="false" ht="15" hidden="false" customHeight="false" outlineLevel="0" collapsed="false">
      <c r="A288" s="10" t="s">
        <v>566</v>
      </c>
      <c r="B288" s="47" t="n">
        <f aca="false">SUMPRODUCT($C$264:$F$264,$C$527:$F$527)</f>
        <v>-0.914546068428816</v>
      </c>
    </row>
    <row r="289" customFormat="false" ht="15" hidden="false" customHeight="false" outlineLevel="0" collapsed="false">
      <c r="A289" s="10" t="s">
        <v>567</v>
      </c>
      <c r="B289" s="18" t="n">
        <f aca="false">$B$287+$B$288</f>
        <v>263.650220359056</v>
      </c>
    </row>
    <row r="290" customFormat="false" ht="15" hidden="false" customHeight="false" outlineLevel="0" collapsed="false">
      <c r="A290" s="10" t="s">
        <v>568</v>
      </c>
      <c r="B290" s="47" t="n">
        <f aca="false">$B$285+$F$239-$F$242-$F$263</f>
        <v>3.80887617725558</v>
      </c>
    </row>
    <row r="291" customFormat="false" ht="15" hidden="false" customHeight="false" outlineLevel="0" collapsed="false">
      <c r="A291" s="10" t="s">
        <v>569</v>
      </c>
      <c r="B291" s="50" t="n">
        <f aca="false">Inputs!$C$153</f>
        <v>32</v>
      </c>
    </row>
    <row r="292" customFormat="false" ht="15" hidden="false" customHeight="false" outlineLevel="0" collapsed="false">
      <c r="A292" s="10" t="s">
        <v>570</v>
      </c>
      <c r="B292" s="47" t="n">
        <f aca="false">$B$290*$B$291*$F$527</f>
        <v>80.28879086852</v>
      </c>
    </row>
    <row r="293" customFormat="false" ht="15" hidden="false" customHeight="false" outlineLevel="0" collapsed="false">
      <c r="A293" s="10" t="s">
        <v>571</v>
      </c>
      <c r="B293" s="18" t="n">
        <f aca="false">$B$288+$B$292</f>
        <v>79.3742448000912</v>
      </c>
    </row>
    <row r="294" customFormat="false" ht="15" hidden="false" customHeight="false" outlineLevel="0" collapsed="false">
      <c r="A294" s="13" t="s">
        <v>572</v>
      </c>
      <c r="B294" s="18" t="n">
        <f aca="false">$B$289*Inputs!$B$7+$B$293*(1-Inputs!$B$7)</f>
        <v>171.512232579574</v>
      </c>
    </row>
    <row r="295" customFormat="false" ht="15" hidden="false" customHeight="false" outlineLevel="0" collapsed="false">
      <c r="A295" s="10" t="s">
        <v>573</v>
      </c>
      <c r="B295" s="47" t="n">
        <f aca="false">MAX(0,$F$245)</f>
        <v>9.50022431059323</v>
      </c>
      <c r="H295" s="51" t="n">
        <v>1</v>
      </c>
      <c r="I295" s="51" t="n">
        <v>2</v>
      </c>
      <c r="J295" s="51" t="n">
        <v>3</v>
      </c>
      <c r="K295" s="51" t="n">
        <v>4</v>
      </c>
      <c r="L295" s="51" t="n">
        <v>5</v>
      </c>
      <c r="M295" s="51" t="n">
        <v>6</v>
      </c>
      <c r="N295" s="51" t="n">
        <v>7</v>
      </c>
      <c r="O295" s="51" t="n">
        <v>8</v>
      </c>
      <c r="P295" s="51" t="n">
        <v>9</v>
      </c>
      <c r="Q295" s="51" t="n">
        <v>10</v>
      </c>
      <c r="R295" s="51" t="n">
        <v>11</v>
      </c>
      <c r="S295" s="51" t="n">
        <v>12</v>
      </c>
      <c r="T295" s="51" t="n">
        <v>13</v>
      </c>
      <c r="U295" s="51" t="n">
        <v>14</v>
      </c>
      <c r="V295" s="51" t="n">
        <v>15</v>
      </c>
      <c r="W295" s="51" t="n">
        <v>16</v>
      </c>
      <c r="X295" s="51" t="n">
        <v>17</v>
      </c>
      <c r="Y295" s="51" t="n">
        <v>18</v>
      </c>
      <c r="Z295" s="51" t="n">
        <v>19</v>
      </c>
      <c r="AA295" s="51" t="n">
        <v>20</v>
      </c>
      <c r="AB295" s="51" t="n">
        <v>21</v>
      </c>
      <c r="AC295" s="51" t="n">
        <v>22</v>
      </c>
      <c r="AD295" s="51" t="n">
        <v>23</v>
      </c>
      <c r="AE295" s="51" t="n">
        <v>24</v>
      </c>
      <c r="AF295" s="51" t="n">
        <v>25</v>
      </c>
      <c r="AG295" s="51" t="n">
        <v>26</v>
      </c>
      <c r="AH295" s="51" t="n">
        <v>27</v>
      </c>
      <c r="AI295" s="51" t="n">
        <v>28</v>
      </c>
      <c r="AJ295" s="51" t="n">
        <v>29</v>
      </c>
      <c r="AK295" s="51" t="n">
        <v>30</v>
      </c>
    </row>
    <row r="296" customFormat="false" ht="15" hidden="false" customHeight="false" outlineLevel="0" collapsed="false">
      <c r="A296" s="10" t="s">
        <v>574</v>
      </c>
      <c r="H296" s="25" t="n">
        <f aca="false">1/(1+Inputs!$B$6)^1</f>
        <v>0.900900900900901</v>
      </c>
      <c r="I296" s="25" t="n">
        <f aca="false">1/(1+Inputs!$B$6)^2</f>
        <v>0.811622433244055</v>
      </c>
      <c r="J296" s="25" t="n">
        <f aca="false">1/(1+Inputs!$B$6)^3</f>
        <v>0.73119138130095</v>
      </c>
      <c r="K296" s="25" t="n">
        <f aca="false">1/(1+Inputs!$B$6)^4</f>
        <v>0.658730974145</v>
      </c>
      <c r="L296" s="25" t="n">
        <f aca="false">1/(1+Inputs!$B$6)^5</f>
        <v>0.593451328058559</v>
      </c>
      <c r="M296" s="25" t="n">
        <f aca="false">1/(1+Inputs!$B$6)^6</f>
        <v>0.534640836088791</v>
      </c>
      <c r="N296" s="25" t="n">
        <f aca="false">1/(1+Inputs!$B$6)^7</f>
        <v>0.481658410890803</v>
      </c>
      <c r="O296" s="25" t="n">
        <f aca="false">1/(1+Inputs!$B$6)^8</f>
        <v>0.433926496298021</v>
      </c>
      <c r="P296" s="25" t="n">
        <f aca="false">1/(1+Inputs!$B$6)^9</f>
        <v>0.390924771439658</v>
      </c>
      <c r="Q296" s="25" t="n">
        <f aca="false">1/(1+Inputs!$B$6)^10</f>
        <v>0.352184478774467</v>
      </c>
      <c r="R296" s="25" t="n">
        <f aca="false">1/(1+Inputs!$B$6)^11</f>
        <v>0.317283314211231</v>
      </c>
      <c r="S296" s="25" t="n">
        <f aca="false">1/(1+Inputs!$B$6)^12</f>
        <v>0.285840823613722</v>
      </c>
      <c r="T296" s="25" t="n">
        <f aca="false">1/(1+Inputs!$B$6)^13</f>
        <v>0.257514255507858</v>
      </c>
      <c r="U296" s="25" t="n">
        <f aca="false">1/(1+Inputs!$B$6)^14</f>
        <v>0.231994824781854</v>
      </c>
      <c r="V296" s="25" t="n">
        <f aca="false">1/(1+Inputs!$B$6)^15</f>
        <v>0.209004346650319</v>
      </c>
      <c r="W296" s="25" t="n">
        <f aca="false">1/(1+Inputs!$B$6)^16</f>
        <v>0.188292204189476</v>
      </c>
      <c r="X296" s="25" t="n">
        <f aca="false">1/(1+Inputs!$B$6)^17</f>
        <v>0.169632616386915</v>
      </c>
      <c r="Y296" s="25" t="n">
        <f aca="false">1/(1+Inputs!$B$6)^18</f>
        <v>0.152822176925149</v>
      </c>
      <c r="Z296" s="25" t="n">
        <f aca="false">1/(1+Inputs!$B$6)^19</f>
        <v>0.137677636869504</v>
      </c>
      <c r="AA296" s="25" t="n">
        <f aca="false">1/(1+Inputs!$B$6)^20</f>
        <v>0.124033907089643</v>
      </c>
      <c r="AB296" s="25" t="n">
        <f aca="false">1/(1+Inputs!$B$6)^21</f>
        <v>0.111742258639318</v>
      </c>
      <c r="AC296" s="25" t="n">
        <f aca="false">1/(1+Inputs!$B$6)^22</f>
        <v>0.100668701476863</v>
      </c>
      <c r="AD296" s="25" t="n">
        <f aca="false">1/(1+Inputs!$B$6)^23</f>
        <v>0.0906925238530297</v>
      </c>
      <c r="AE296" s="25" t="n">
        <f aca="false">1/(1+Inputs!$B$6)^24</f>
        <v>0.0817049764441709</v>
      </c>
      <c r="AF296" s="25" t="n">
        <f aca="false">1/(1+Inputs!$B$6)^25</f>
        <v>0.0736080868866405</v>
      </c>
      <c r="AG296" s="25" t="n">
        <f aca="false">1/(1+Inputs!$B$6)^26</f>
        <v>0.0663135917897662</v>
      </c>
      <c r="AH296" s="25" t="n">
        <f aca="false">1/(1+Inputs!$B$6)^27</f>
        <v>0.0597419745853749</v>
      </c>
      <c r="AI296" s="25" t="n">
        <f aca="false">1/(1+Inputs!$B$6)^28</f>
        <v>0.053821598725563</v>
      </c>
      <c r="AJ296" s="25" t="n">
        <f aca="false">1/(1+Inputs!$B$6)^29</f>
        <v>0.0484879267797865</v>
      </c>
      <c r="AK296" s="25" t="n">
        <f aca="false">1/(1+Inputs!$B$6)^30</f>
        <v>0.0436828169187266</v>
      </c>
    </row>
    <row r="297" customFormat="false" ht="15" hidden="false" customHeight="false" outlineLevel="0" collapsed="false">
      <c r="A297" s="10" t="s">
        <v>575</v>
      </c>
      <c r="G297" s="47" t="n">
        <f aca="false">$F$248</f>
        <v>0</v>
      </c>
      <c r="H297" s="47" t="n">
        <f aca="false">G297</f>
        <v>0</v>
      </c>
      <c r="I297" s="47" t="n">
        <f aca="false">H297-H298</f>
        <v>0</v>
      </c>
      <c r="J297" s="47" t="n">
        <f aca="false">I297-I298</f>
        <v>0</v>
      </c>
      <c r="K297" s="47" t="n">
        <f aca="false">J297-J298</f>
        <v>0</v>
      </c>
      <c r="L297" s="47" t="n">
        <f aca="false">K297-K298</f>
        <v>0</v>
      </c>
      <c r="M297" s="47" t="n">
        <f aca="false">L297-L298</f>
        <v>0</v>
      </c>
      <c r="N297" s="47" t="n">
        <f aca="false">M297-M298</f>
        <v>0</v>
      </c>
      <c r="O297" s="47" t="n">
        <f aca="false">N297-N298</f>
        <v>0</v>
      </c>
      <c r="P297" s="47" t="n">
        <f aca="false">O297-O298</f>
        <v>0</v>
      </c>
      <c r="Q297" s="47" t="n">
        <f aca="false">P297-P298</f>
        <v>0</v>
      </c>
      <c r="R297" s="47" t="n">
        <f aca="false">Q297-Q298</f>
        <v>0</v>
      </c>
      <c r="S297" s="47" t="n">
        <f aca="false">R297-R298</f>
        <v>0</v>
      </c>
      <c r="T297" s="47" t="n">
        <f aca="false">S297-S298</f>
        <v>0</v>
      </c>
      <c r="U297" s="47" t="n">
        <f aca="false">T297-T298</f>
        <v>0</v>
      </c>
      <c r="V297" s="47" t="n">
        <f aca="false">U297-U298</f>
        <v>0</v>
      </c>
      <c r="W297" s="47" t="n">
        <f aca="false">V297-V298</f>
        <v>0</v>
      </c>
      <c r="X297" s="47" t="n">
        <f aca="false">W297-W298</f>
        <v>0</v>
      </c>
      <c r="Y297" s="47" t="n">
        <f aca="false">X297-X298</f>
        <v>0</v>
      </c>
      <c r="Z297" s="47" t="n">
        <f aca="false">Y297-Y298</f>
        <v>0</v>
      </c>
      <c r="AA297" s="47" t="n">
        <f aca="false">Z297-Z298</f>
        <v>0</v>
      </c>
      <c r="AB297" s="47" t="n">
        <f aca="false">AA297-AA298</f>
        <v>0</v>
      </c>
      <c r="AC297" s="47" t="n">
        <f aca="false">AB297-AB298</f>
        <v>0</v>
      </c>
      <c r="AD297" s="47" t="n">
        <f aca="false">AC297-AC298</f>
        <v>0</v>
      </c>
      <c r="AE297" s="47" t="n">
        <f aca="false">AD297-AD298</f>
        <v>0</v>
      </c>
      <c r="AF297" s="47" t="n">
        <f aca="false">AE297-AE298</f>
        <v>0</v>
      </c>
      <c r="AG297" s="47" t="n">
        <f aca="false">AF297-AF298</f>
        <v>0</v>
      </c>
      <c r="AH297" s="47" t="n">
        <f aca="false">AG297-AG298</f>
        <v>0</v>
      </c>
      <c r="AI297" s="47" t="n">
        <f aca="false">AH297-AH298</f>
        <v>0</v>
      </c>
      <c r="AJ297" s="47" t="n">
        <f aca="false">AI297-AI298</f>
        <v>0</v>
      </c>
      <c r="AK297" s="47" t="n">
        <f aca="false">AJ297-AJ298</f>
        <v>0</v>
      </c>
    </row>
    <row r="298" customFormat="false" ht="15" hidden="false" customHeight="false" outlineLevel="0" collapsed="false">
      <c r="A298" s="10" t="s">
        <v>576</v>
      </c>
      <c r="H298" s="47" t="n">
        <f aca="false">IF(1&lt;=Inputs!$B$44,MIN(H297,$B$295,1E+099),0)</f>
        <v>0</v>
      </c>
      <c r="I298" s="47" t="n">
        <f aca="false">IF(2&lt;=Inputs!$B$44,MIN(I297,$B$295,1E+099),0)</f>
        <v>0</v>
      </c>
      <c r="J298" s="47" t="n">
        <f aca="false">IF(3&lt;=Inputs!$B$44,MIN(J297,$B$295,1E+099),0)</f>
        <v>0</v>
      </c>
      <c r="K298" s="47" t="n">
        <f aca="false">IF(4&lt;=Inputs!$B$44,MIN(K297,$B$295,1E+099),0)</f>
        <v>0</v>
      </c>
      <c r="L298" s="47" t="n">
        <f aca="false">IF(5&lt;=Inputs!$B$44,MIN(L297,$B$295,1E+099),0)</f>
        <v>0</v>
      </c>
      <c r="M298" s="47" t="n">
        <f aca="false">IF(6&lt;=Inputs!$B$44,MIN(M297,$B$295,1E+099),0)</f>
        <v>0</v>
      </c>
      <c r="N298" s="47" t="n">
        <f aca="false">IF(7&lt;=Inputs!$B$44,MIN(N297,$B$295,1E+099),0)</f>
        <v>0</v>
      </c>
      <c r="O298" s="47" t="n">
        <f aca="false">IF(8&lt;=Inputs!$B$44,MIN(O297,$B$295,1E+099),0)</f>
        <v>0</v>
      </c>
      <c r="P298" s="47" t="n">
        <f aca="false">IF(9&lt;=Inputs!$B$44,MIN(P297,$B$295,1E+099),0)</f>
        <v>0</v>
      </c>
      <c r="Q298" s="47" t="n">
        <f aca="false">IF(10&lt;=Inputs!$B$44,MIN(Q297,$B$295,1E+099),0)</f>
        <v>0</v>
      </c>
      <c r="R298" s="47" t="n">
        <f aca="false">IF(11&lt;=Inputs!$B$44,MIN(R297,$B$295,1E+099),0)</f>
        <v>0</v>
      </c>
      <c r="S298" s="47" t="n">
        <f aca="false">IF(12&lt;=Inputs!$B$44,MIN(S297,$B$295,1E+099),0)</f>
        <v>0</v>
      </c>
      <c r="T298" s="47" t="n">
        <f aca="false">IF(13&lt;=Inputs!$B$44,MIN(T297,$B$295,1E+099),0)</f>
        <v>0</v>
      </c>
      <c r="U298" s="47" t="n">
        <f aca="false">IF(14&lt;=Inputs!$B$44,MIN(U297,$B$295,1E+099),0)</f>
        <v>0</v>
      </c>
      <c r="V298" s="47" t="n">
        <f aca="false">IF(15&lt;=Inputs!$B$44,MIN(V297,$B$295,1E+099),0)</f>
        <v>0</v>
      </c>
      <c r="W298" s="47" t="n">
        <f aca="false">IF(16&lt;=Inputs!$B$44,MIN(W297,$B$295,1E+099),0)</f>
        <v>0</v>
      </c>
      <c r="X298" s="47" t="n">
        <f aca="false">IF(17&lt;=Inputs!$B$44,MIN(X297,$B$295,1E+099),0)</f>
        <v>0</v>
      </c>
      <c r="Y298" s="47" t="n">
        <f aca="false">IF(18&lt;=Inputs!$B$44,MIN(Y297,$B$295,1E+099),0)</f>
        <v>0</v>
      </c>
      <c r="Z298" s="47" t="n">
        <f aca="false">IF(19&lt;=Inputs!$B$44,MIN(Z297,$B$295,1E+099),0)</f>
        <v>0</v>
      </c>
      <c r="AA298" s="47" t="n">
        <f aca="false">IF(20&lt;=Inputs!$B$44,MIN(AA297,$B$295,1E+099),0)</f>
        <v>0</v>
      </c>
      <c r="AB298" s="47" t="n">
        <f aca="false">IF(21&lt;=Inputs!$B$44,MIN(AB297,$B$295,1E+099),0)</f>
        <v>0</v>
      </c>
      <c r="AC298" s="47" t="n">
        <f aca="false">IF(22&lt;=Inputs!$B$44,MIN(AC297,$B$295,1E+099),0)</f>
        <v>0</v>
      </c>
      <c r="AD298" s="47" t="n">
        <f aca="false">IF(23&lt;=Inputs!$B$44,MIN(AD297,$B$295,1E+099),0)</f>
        <v>0</v>
      </c>
      <c r="AE298" s="47" t="n">
        <f aca="false">IF(24&lt;=Inputs!$B$44,MIN(AE297,$B$295,1E+099),0)</f>
        <v>0</v>
      </c>
      <c r="AF298" s="47" t="n">
        <f aca="false">IF(25&lt;=Inputs!$B$44,MIN(AF297,$B$295,1E+099),0)</f>
        <v>0</v>
      </c>
      <c r="AG298" s="47" t="n">
        <f aca="false">IF(26&lt;=Inputs!$B$44,MIN(AG297,$B$295,1E+099),0)</f>
        <v>0</v>
      </c>
      <c r="AH298" s="47" t="n">
        <f aca="false">IF(27&lt;=Inputs!$B$44,MIN(AH297,$B$295,1E+099),0)</f>
        <v>0</v>
      </c>
      <c r="AI298" s="47" t="n">
        <f aca="false">IF(28&lt;=Inputs!$B$44,MIN(AI297,$B$295,1E+099),0)</f>
        <v>0</v>
      </c>
      <c r="AJ298" s="47" t="n">
        <f aca="false">IF(29&lt;=Inputs!$B$44,MIN(AJ297,$B$295,1E+099),0)</f>
        <v>0</v>
      </c>
      <c r="AK298" s="47" t="n">
        <f aca="false">IF(30&lt;=Inputs!$B$44,MIN(AK297,$B$295,1E+099),0)</f>
        <v>0</v>
      </c>
    </row>
    <row r="299" customFormat="false" ht="15" hidden="false" customHeight="false" outlineLevel="0" collapsed="false">
      <c r="A299" s="10" t="s">
        <v>577</v>
      </c>
      <c r="G299" s="47" t="n">
        <f aca="false">$F$249</f>
        <v>0</v>
      </c>
      <c r="H299" s="47" t="n">
        <f aca="false">G299</f>
        <v>0</v>
      </c>
      <c r="I299" s="47" t="n">
        <f aca="false">H299-H300</f>
        <v>0</v>
      </c>
      <c r="J299" s="47" t="n">
        <f aca="false">I299-I300</f>
        <v>0</v>
      </c>
      <c r="K299" s="47" t="n">
        <f aca="false">J299-J300</f>
        <v>0</v>
      </c>
      <c r="L299" s="47" t="n">
        <f aca="false">K299-K300</f>
        <v>0</v>
      </c>
      <c r="M299" s="47" t="n">
        <f aca="false">L299-L300</f>
        <v>0</v>
      </c>
      <c r="N299" s="47" t="n">
        <f aca="false">M299-M300</f>
        <v>0</v>
      </c>
      <c r="O299" s="47" t="n">
        <f aca="false">N299-N300</f>
        <v>0</v>
      </c>
      <c r="P299" s="47" t="n">
        <f aca="false">O299-O300</f>
        <v>0</v>
      </c>
      <c r="Q299" s="47" t="n">
        <f aca="false">P299-P300</f>
        <v>0</v>
      </c>
      <c r="R299" s="47" t="n">
        <f aca="false">Q299-Q300</f>
        <v>0</v>
      </c>
      <c r="S299" s="47" t="n">
        <f aca="false">R299-R300</f>
        <v>0</v>
      </c>
      <c r="T299" s="47" t="n">
        <f aca="false">S299-S300</f>
        <v>0</v>
      </c>
      <c r="U299" s="47" t="n">
        <f aca="false">T299-T300</f>
        <v>0</v>
      </c>
      <c r="V299" s="47" t="n">
        <f aca="false">U299-U300</f>
        <v>0</v>
      </c>
      <c r="W299" s="47" t="n">
        <f aca="false">V299-V300</f>
        <v>0</v>
      </c>
      <c r="X299" s="47" t="n">
        <f aca="false">W299-W300</f>
        <v>0</v>
      </c>
      <c r="Y299" s="47" t="n">
        <f aca="false">X299-X300</f>
        <v>0</v>
      </c>
      <c r="Z299" s="47" t="n">
        <f aca="false">Y299-Y300</f>
        <v>0</v>
      </c>
      <c r="AA299" s="47" t="n">
        <f aca="false">Z299-Z300</f>
        <v>0</v>
      </c>
      <c r="AB299" s="47" t="n">
        <f aca="false">AA299-AA300</f>
        <v>0</v>
      </c>
      <c r="AC299" s="47" t="n">
        <f aca="false">AB299-AB300</f>
        <v>0</v>
      </c>
      <c r="AD299" s="47" t="n">
        <f aca="false">AC299-AC300</f>
        <v>0</v>
      </c>
      <c r="AE299" s="47" t="n">
        <f aca="false">AD299-AD300</f>
        <v>0</v>
      </c>
      <c r="AF299" s="47" t="n">
        <f aca="false">AE299-AE300</f>
        <v>0</v>
      </c>
      <c r="AG299" s="47" t="n">
        <f aca="false">AF299-AF300</f>
        <v>0</v>
      </c>
      <c r="AH299" s="47" t="n">
        <f aca="false">AG299-AG300</f>
        <v>0</v>
      </c>
      <c r="AI299" s="47" t="n">
        <f aca="false">AH299-AH300</f>
        <v>0</v>
      </c>
      <c r="AJ299" s="47" t="n">
        <f aca="false">AI299-AI300</f>
        <v>0</v>
      </c>
      <c r="AK299" s="47" t="n">
        <f aca="false">AJ299-AJ300</f>
        <v>0</v>
      </c>
    </row>
    <row r="300" customFormat="false" ht="15" hidden="false" customHeight="false" outlineLevel="0" collapsed="false">
      <c r="A300" s="10" t="s">
        <v>576</v>
      </c>
      <c r="H300" s="47" t="n">
        <f aca="false">IF(1&lt;=Inputs!$B$44,MIN(H299,$B$295-H298),0)</f>
        <v>0</v>
      </c>
      <c r="I300" s="47" t="n">
        <f aca="false">IF(2&lt;=Inputs!$B$44,MIN(I299,$B$295-I298),0)</f>
        <v>0</v>
      </c>
      <c r="J300" s="47" t="n">
        <f aca="false">IF(3&lt;=Inputs!$B$44,MIN(J299,$B$295-J298),0)</f>
        <v>0</v>
      </c>
      <c r="K300" s="47" t="n">
        <f aca="false">IF(4&lt;=Inputs!$B$44,MIN(K299,$B$295-K298),0)</f>
        <v>0</v>
      </c>
      <c r="L300" s="47" t="n">
        <f aca="false">IF(5&lt;=Inputs!$B$44,MIN(L299,$B$295-L298),0)</f>
        <v>0</v>
      </c>
      <c r="M300" s="47" t="n">
        <f aca="false">IF(6&lt;=Inputs!$B$44,MIN(M299,$B$295-M298),0)</f>
        <v>0</v>
      </c>
      <c r="N300" s="47" t="n">
        <f aca="false">IF(7&lt;=Inputs!$B$44,MIN(N299,$B$295-N298),0)</f>
        <v>0</v>
      </c>
      <c r="O300" s="47" t="n">
        <f aca="false">IF(8&lt;=Inputs!$B$44,MIN(O299,$B$295-O298),0)</f>
        <v>0</v>
      </c>
      <c r="P300" s="47" t="n">
        <f aca="false">IF(9&lt;=Inputs!$B$44,MIN(P299,$B$295-P298),0)</f>
        <v>0</v>
      </c>
      <c r="Q300" s="47" t="n">
        <f aca="false">IF(10&lt;=Inputs!$B$44,MIN(Q299,$B$295-Q298),0)</f>
        <v>0</v>
      </c>
      <c r="R300" s="47" t="n">
        <f aca="false">IF(11&lt;=Inputs!$B$44,MIN(R299,$B$295-R298),0)</f>
        <v>0</v>
      </c>
      <c r="S300" s="47" t="n">
        <f aca="false">IF(12&lt;=Inputs!$B$44,MIN(S299,$B$295-S298),0)</f>
        <v>0</v>
      </c>
      <c r="T300" s="47" t="n">
        <f aca="false">IF(13&lt;=Inputs!$B$44,MIN(T299,$B$295-T298),0)</f>
        <v>0</v>
      </c>
      <c r="U300" s="47" t="n">
        <f aca="false">IF(14&lt;=Inputs!$B$44,MIN(U299,$B$295-U298),0)</f>
        <v>0</v>
      </c>
      <c r="V300" s="47" t="n">
        <f aca="false">IF(15&lt;=Inputs!$B$44,MIN(V299,$B$295-V298),0)</f>
        <v>0</v>
      </c>
      <c r="W300" s="47" t="n">
        <f aca="false">IF(16&lt;=Inputs!$B$44,MIN(W299,$B$295-W298),0)</f>
        <v>0</v>
      </c>
      <c r="X300" s="47" t="n">
        <f aca="false">IF(17&lt;=Inputs!$B$44,MIN(X299,$B$295-X298),0)</f>
        <v>0</v>
      </c>
      <c r="Y300" s="47" t="n">
        <f aca="false">IF(18&lt;=Inputs!$B$44,MIN(Y299,$B$295-Y298),0)</f>
        <v>0</v>
      </c>
      <c r="Z300" s="47" t="n">
        <f aca="false">IF(19&lt;=Inputs!$B$44,MIN(Z299,$B$295-Z298),0)</f>
        <v>0</v>
      </c>
      <c r="AA300" s="47" t="n">
        <f aca="false">IF(20&lt;=Inputs!$B$44,MIN(AA299,$B$295-AA298),0)</f>
        <v>0</v>
      </c>
      <c r="AB300" s="47" t="n">
        <f aca="false">IF(21&lt;=Inputs!$B$44,MIN(AB299,$B$295-AB298),0)</f>
        <v>0</v>
      </c>
      <c r="AC300" s="47" t="n">
        <f aca="false">IF(22&lt;=Inputs!$B$44,MIN(AC299,$B$295-AC298),0)</f>
        <v>0</v>
      </c>
      <c r="AD300" s="47" t="n">
        <f aca="false">IF(23&lt;=Inputs!$B$44,MIN(AD299,$B$295-AD298),0)</f>
        <v>0</v>
      </c>
      <c r="AE300" s="47" t="n">
        <f aca="false">IF(24&lt;=Inputs!$B$44,MIN(AE299,$B$295-AE298),0)</f>
        <v>0</v>
      </c>
      <c r="AF300" s="47" t="n">
        <f aca="false">IF(25&lt;=Inputs!$B$44,MIN(AF299,$B$295-AF298),0)</f>
        <v>0</v>
      </c>
      <c r="AG300" s="47" t="n">
        <f aca="false">IF(26&lt;=Inputs!$B$44,MIN(AG299,$B$295-AG298),0)</f>
        <v>0</v>
      </c>
      <c r="AH300" s="47" t="n">
        <f aca="false">IF(27&lt;=Inputs!$B$44,MIN(AH299,$B$295-AH298),0)</f>
        <v>0</v>
      </c>
      <c r="AI300" s="47" t="n">
        <f aca="false">IF(28&lt;=Inputs!$B$44,MIN(AI299,$B$295-AI298),0)</f>
        <v>0</v>
      </c>
      <c r="AJ300" s="47" t="n">
        <f aca="false">IF(29&lt;=Inputs!$B$44,MIN(AJ299,$B$295-AJ298),0)</f>
        <v>0</v>
      </c>
      <c r="AK300" s="47" t="n">
        <f aca="false">IF(30&lt;=Inputs!$B$44,MIN(AK299,$B$295-AK298),0)</f>
        <v>0</v>
      </c>
    </row>
    <row r="301" customFormat="false" ht="15" hidden="false" customHeight="false" outlineLevel="0" collapsed="false">
      <c r="A301" s="10" t="s">
        <v>578</v>
      </c>
      <c r="H301" s="47" t="n">
        <f aca="false">($B$295-H298-H300)*Inputs!$B$34</f>
        <v>0.380008972423729</v>
      </c>
      <c r="I301" s="47" t="n">
        <f aca="false">($B$295-I298-I300)*Inputs!$B$34</f>
        <v>0.380008972423729</v>
      </c>
      <c r="J301" s="47" t="n">
        <f aca="false">($B$295-J298-J300)*Inputs!$B$34</f>
        <v>0.380008972423729</v>
      </c>
      <c r="K301" s="47" t="n">
        <f aca="false">($B$295-K298-K300)*Inputs!$B$34</f>
        <v>0.380008972423729</v>
      </c>
      <c r="L301" s="47" t="n">
        <f aca="false">($B$295-L298-L300)*Inputs!$B$34</f>
        <v>0.380008972423729</v>
      </c>
      <c r="M301" s="47" t="n">
        <f aca="false">($B$295-M298-M300)*Inputs!$B$34</f>
        <v>0.380008972423729</v>
      </c>
      <c r="N301" s="47" t="n">
        <f aca="false">($B$295-N298-N300)*Inputs!$B$34</f>
        <v>0.380008972423729</v>
      </c>
      <c r="O301" s="47" t="n">
        <f aca="false">($B$295-O298-O300)*Inputs!$B$34</f>
        <v>0.380008972423729</v>
      </c>
      <c r="P301" s="47" t="n">
        <f aca="false">($B$295-P298-P300)*Inputs!$B$34</f>
        <v>0.380008972423729</v>
      </c>
      <c r="Q301" s="47" t="n">
        <f aca="false">($B$295-Q298-Q300)*Inputs!$B$34</f>
        <v>0.380008972423729</v>
      </c>
      <c r="R301" s="47" t="n">
        <f aca="false">($B$295-R298-R300)*Inputs!$B$34</f>
        <v>0.380008972423729</v>
      </c>
      <c r="S301" s="47" t="n">
        <f aca="false">($B$295-S298-S300)*Inputs!$B$34</f>
        <v>0.380008972423729</v>
      </c>
      <c r="T301" s="47" t="n">
        <f aca="false">($B$295-T298-T300)*Inputs!$B$34</f>
        <v>0.380008972423729</v>
      </c>
      <c r="U301" s="47" t="n">
        <f aca="false">($B$295-U298-U300)*Inputs!$B$34</f>
        <v>0.380008972423729</v>
      </c>
      <c r="V301" s="47" t="n">
        <f aca="false">($B$295-V298-V300)*Inputs!$B$34</f>
        <v>0.380008972423729</v>
      </c>
      <c r="W301" s="47" t="n">
        <f aca="false">($B$295-W298-W300)*Inputs!$B$34</f>
        <v>0.380008972423729</v>
      </c>
      <c r="X301" s="47" t="n">
        <f aca="false">($B$295-X298-X300)*Inputs!$B$34</f>
        <v>0.380008972423729</v>
      </c>
      <c r="Y301" s="47" t="n">
        <f aca="false">($B$295-Y298-Y300)*Inputs!$B$34</f>
        <v>0.380008972423729</v>
      </c>
      <c r="Z301" s="47" t="n">
        <f aca="false">($B$295-Z298-Z300)*Inputs!$B$34</f>
        <v>0.380008972423729</v>
      </c>
      <c r="AA301" s="47" t="n">
        <f aca="false">($B$295-AA298-AA300)*Inputs!$B$34</f>
        <v>0.380008972423729</v>
      </c>
      <c r="AB301" s="47" t="n">
        <f aca="false">($B$295-AB298-AB300)*Inputs!$B$34</f>
        <v>0.380008972423729</v>
      </c>
      <c r="AC301" s="47" t="n">
        <f aca="false">($B$295-AC298-AC300)*Inputs!$B$34</f>
        <v>0.380008972423729</v>
      </c>
      <c r="AD301" s="47" t="n">
        <f aca="false">($B$295-AD298-AD300)*Inputs!$B$34</f>
        <v>0.380008972423729</v>
      </c>
      <c r="AE301" s="47" t="n">
        <f aca="false">($B$295-AE298-AE300)*Inputs!$B$34</f>
        <v>0.380008972423729</v>
      </c>
      <c r="AF301" s="47" t="n">
        <f aca="false">($B$295-AF298-AF300)*Inputs!$B$34</f>
        <v>0.380008972423729</v>
      </c>
      <c r="AG301" s="47" t="n">
        <f aca="false">($B$295-AG298-AG300)*Inputs!$B$34</f>
        <v>0.380008972423729</v>
      </c>
      <c r="AH301" s="47" t="n">
        <f aca="false">($B$295-AH298-AH300)*Inputs!$B$34</f>
        <v>0.380008972423729</v>
      </c>
      <c r="AI301" s="47" t="n">
        <f aca="false">($B$295-AI298-AI300)*Inputs!$B$34</f>
        <v>0.380008972423729</v>
      </c>
      <c r="AJ301" s="47" t="n">
        <f aca="false">($B$295-AJ298-AJ300)*Inputs!$B$34</f>
        <v>0.380008972423729</v>
      </c>
      <c r="AK301" s="47" t="n">
        <f aca="false">($B$295-AK298-AK300)*Inputs!$B$34</f>
        <v>0.380008972423729</v>
      </c>
    </row>
    <row r="302" customFormat="false" ht="15" hidden="false" customHeight="false" outlineLevel="0" collapsed="false">
      <c r="A302" s="10" t="s">
        <v>579</v>
      </c>
      <c r="H302" s="47" t="n">
        <f aca="false">$B$295-H301</f>
        <v>9.12021533816951</v>
      </c>
      <c r="I302" s="47" t="n">
        <f aca="false">$B$295-I301</f>
        <v>9.12021533816951</v>
      </c>
      <c r="J302" s="47" t="n">
        <f aca="false">$B$295-J301</f>
        <v>9.12021533816951</v>
      </c>
      <c r="K302" s="47" t="n">
        <f aca="false">$B$295-K301</f>
        <v>9.12021533816951</v>
      </c>
      <c r="L302" s="47" t="n">
        <f aca="false">$B$295-L301</f>
        <v>9.12021533816951</v>
      </c>
      <c r="M302" s="47" t="n">
        <f aca="false">$B$295-M301</f>
        <v>9.12021533816951</v>
      </c>
      <c r="N302" s="47" t="n">
        <f aca="false">$B$295-N301</f>
        <v>9.12021533816951</v>
      </c>
      <c r="O302" s="47" t="n">
        <f aca="false">$B$295-O301</f>
        <v>9.12021533816951</v>
      </c>
      <c r="P302" s="47" t="n">
        <f aca="false">$B$295-P301</f>
        <v>9.12021533816951</v>
      </c>
      <c r="Q302" s="47" t="n">
        <f aca="false">$B$295-Q301</f>
        <v>9.12021533816951</v>
      </c>
      <c r="R302" s="47" t="n">
        <f aca="false">$B$295-R301</f>
        <v>9.12021533816951</v>
      </c>
      <c r="S302" s="47" t="n">
        <f aca="false">$B$295-S301</f>
        <v>9.12021533816951</v>
      </c>
      <c r="T302" s="47" t="n">
        <f aca="false">$B$295-T301</f>
        <v>9.12021533816951</v>
      </c>
      <c r="U302" s="47" t="n">
        <f aca="false">$B$295-U301</f>
        <v>9.12021533816951</v>
      </c>
      <c r="V302" s="47" t="n">
        <f aca="false">$B$295-V301</f>
        <v>9.12021533816951</v>
      </c>
      <c r="W302" s="47" t="n">
        <f aca="false">$B$295-W301</f>
        <v>9.12021533816951</v>
      </c>
      <c r="X302" s="47" t="n">
        <f aca="false">$B$295-X301</f>
        <v>9.12021533816951</v>
      </c>
      <c r="Y302" s="47" t="n">
        <f aca="false">$B$295-Y301</f>
        <v>9.12021533816951</v>
      </c>
      <c r="Z302" s="47" t="n">
        <f aca="false">$B$295-Z301</f>
        <v>9.12021533816951</v>
      </c>
      <c r="AA302" s="47" t="n">
        <f aca="false">$B$295-AA301</f>
        <v>9.12021533816951</v>
      </c>
      <c r="AB302" s="47" t="n">
        <f aca="false">$B$295-AB301</f>
        <v>9.12021533816951</v>
      </c>
      <c r="AC302" s="47" t="n">
        <f aca="false">$B$295-AC301</f>
        <v>9.12021533816951</v>
      </c>
      <c r="AD302" s="47" t="n">
        <f aca="false">$B$295-AD301</f>
        <v>9.12021533816951</v>
      </c>
      <c r="AE302" s="47" t="n">
        <f aca="false">$B$295-AE301</f>
        <v>9.12021533816951</v>
      </c>
      <c r="AF302" s="47" t="n">
        <f aca="false">$B$295-AF301</f>
        <v>9.12021533816951</v>
      </c>
      <c r="AG302" s="47" t="n">
        <f aca="false">$B$295-AG301</f>
        <v>9.12021533816951</v>
      </c>
      <c r="AH302" s="47" t="n">
        <f aca="false">$B$295-AH301</f>
        <v>9.12021533816951</v>
      </c>
      <c r="AI302" s="47" t="n">
        <f aca="false">$B$295-AI301</f>
        <v>9.12021533816951</v>
      </c>
      <c r="AJ302" s="47" t="n">
        <f aca="false">$B$295-AJ301</f>
        <v>9.12021533816951</v>
      </c>
      <c r="AK302" s="47" t="n">
        <f aca="false">$B$295-AK301</f>
        <v>9.12021533816951</v>
      </c>
    </row>
    <row r="303" customFormat="false" ht="15" hidden="false" customHeight="false" outlineLevel="0" collapsed="false">
      <c r="A303" s="10" t="s">
        <v>580</v>
      </c>
      <c r="G303" s="47" t="n">
        <f aca="false">$F$254</f>
        <v>0</v>
      </c>
      <c r="H303" s="47" t="n">
        <f aca="false">G303</f>
        <v>0</v>
      </c>
      <c r="I303" s="47" t="n">
        <f aca="false">H303-H304</f>
        <v>0</v>
      </c>
      <c r="J303" s="47" t="n">
        <f aca="false">I303-I304</f>
        <v>0</v>
      </c>
      <c r="K303" s="47" t="n">
        <f aca="false">J303-J304</f>
        <v>0</v>
      </c>
      <c r="L303" s="47" t="n">
        <f aca="false">K303-K304</f>
        <v>0</v>
      </c>
      <c r="M303" s="47" t="n">
        <f aca="false">L303-L304</f>
        <v>0</v>
      </c>
      <c r="N303" s="47" t="n">
        <f aca="false">M303-M304</f>
        <v>0</v>
      </c>
      <c r="O303" s="47" t="n">
        <f aca="false">N303-N304</f>
        <v>0</v>
      </c>
      <c r="P303" s="47" t="n">
        <f aca="false">O303-O304</f>
        <v>0</v>
      </c>
      <c r="Q303" s="47" t="n">
        <f aca="false">P303-P304</f>
        <v>0</v>
      </c>
      <c r="R303" s="47" t="n">
        <f aca="false">Q303-Q304</f>
        <v>0</v>
      </c>
      <c r="S303" s="47" t="n">
        <f aca="false">R303-R304</f>
        <v>0</v>
      </c>
      <c r="T303" s="47" t="n">
        <f aca="false">S303-S304</f>
        <v>0</v>
      </c>
      <c r="U303" s="47" t="n">
        <f aca="false">T303-T304</f>
        <v>0</v>
      </c>
      <c r="V303" s="47" t="n">
        <f aca="false">U303-U304</f>
        <v>0</v>
      </c>
      <c r="W303" s="47" t="n">
        <f aca="false">V303-V304</f>
        <v>0</v>
      </c>
      <c r="X303" s="47" t="n">
        <f aca="false">W303-W304</f>
        <v>0</v>
      </c>
      <c r="Y303" s="47" t="n">
        <f aca="false">X303-X304</f>
        <v>0</v>
      </c>
      <c r="Z303" s="47" t="n">
        <f aca="false">Y303-Y304</f>
        <v>0</v>
      </c>
      <c r="AA303" s="47" t="n">
        <f aca="false">Z303-Z304</f>
        <v>0</v>
      </c>
      <c r="AB303" s="47" t="n">
        <f aca="false">AA303-AA304</f>
        <v>0</v>
      </c>
      <c r="AC303" s="47" t="n">
        <f aca="false">AB303-AB304</f>
        <v>0</v>
      </c>
      <c r="AD303" s="47" t="n">
        <f aca="false">AC303-AC304</f>
        <v>0</v>
      </c>
      <c r="AE303" s="47" t="n">
        <f aca="false">AD303-AD304</f>
        <v>0</v>
      </c>
      <c r="AF303" s="47" t="n">
        <f aca="false">AE303-AE304</f>
        <v>0</v>
      </c>
      <c r="AG303" s="47" t="n">
        <f aca="false">AF303-AF304</f>
        <v>0</v>
      </c>
      <c r="AH303" s="47" t="n">
        <f aca="false">AG303-AG304</f>
        <v>0</v>
      </c>
      <c r="AI303" s="47" t="n">
        <f aca="false">AH303-AH304</f>
        <v>0</v>
      </c>
      <c r="AJ303" s="47" t="n">
        <f aca="false">AI303-AI304</f>
        <v>0</v>
      </c>
      <c r="AK303" s="47" t="n">
        <f aca="false">AJ303-AJ304</f>
        <v>0</v>
      </c>
    </row>
    <row r="304" customFormat="false" ht="15" hidden="false" customHeight="false" outlineLevel="0" collapsed="false">
      <c r="A304" s="10" t="s">
        <v>581</v>
      </c>
      <c r="H304" s="47" t="n">
        <f aca="false">MIN(H303,Inputs!$B$35*H302,1E+099)</f>
        <v>0</v>
      </c>
      <c r="I304" s="47" t="n">
        <f aca="false">MIN(I303,Inputs!$B$35*I302,1E+099)</f>
        <v>0</v>
      </c>
      <c r="J304" s="47" t="n">
        <f aca="false">MIN(J303,Inputs!$B$35*J302,1E+099)</f>
        <v>0</v>
      </c>
      <c r="K304" s="47" t="n">
        <f aca="false">MIN(K303,Inputs!$B$35*K302,1E+099)</f>
        <v>0</v>
      </c>
      <c r="L304" s="47" t="n">
        <f aca="false">MIN(L303,Inputs!$B$35*L302,1E+099)</f>
        <v>0</v>
      </c>
      <c r="M304" s="47" t="n">
        <f aca="false">MIN(M303,Inputs!$B$35*M302,1E+099)</f>
        <v>0</v>
      </c>
      <c r="N304" s="47" t="n">
        <f aca="false">MIN(N303,Inputs!$B$35*N302,1E+099)</f>
        <v>0</v>
      </c>
      <c r="O304" s="47" t="n">
        <f aca="false">MIN(O303,Inputs!$B$35*O302,1E+099)</f>
        <v>0</v>
      </c>
      <c r="P304" s="47" t="n">
        <f aca="false">MIN(P303,Inputs!$B$35*P302,1E+099)</f>
        <v>0</v>
      </c>
      <c r="Q304" s="47" t="n">
        <f aca="false">MIN(Q303,Inputs!$B$35*Q302,1E+099)</f>
        <v>0</v>
      </c>
      <c r="R304" s="47" t="n">
        <f aca="false">MIN(R303,Inputs!$B$35*R302,1E+099)</f>
        <v>0</v>
      </c>
      <c r="S304" s="47" t="n">
        <f aca="false">MIN(S303,Inputs!$B$35*S302,1E+099)</f>
        <v>0</v>
      </c>
      <c r="T304" s="47" t="n">
        <f aca="false">MIN(T303,Inputs!$B$35*T302,1E+099)</f>
        <v>0</v>
      </c>
      <c r="U304" s="47" t="n">
        <f aca="false">MIN(U303,Inputs!$B$35*U302,1E+099)</f>
        <v>0</v>
      </c>
      <c r="V304" s="47" t="n">
        <f aca="false">MIN(V303,Inputs!$B$35*V302,1E+099)</f>
        <v>0</v>
      </c>
      <c r="W304" s="47" t="n">
        <f aca="false">MIN(W303,Inputs!$B$35*W302,1E+099)</f>
        <v>0</v>
      </c>
      <c r="X304" s="47" t="n">
        <f aca="false">MIN(X303,Inputs!$B$35*X302,1E+099)</f>
        <v>0</v>
      </c>
      <c r="Y304" s="47" t="n">
        <f aca="false">MIN(Y303,Inputs!$B$35*Y302,1E+099)</f>
        <v>0</v>
      </c>
      <c r="Z304" s="47" t="n">
        <f aca="false">MIN(Z303,Inputs!$B$35*Z302,1E+099)</f>
        <v>0</v>
      </c>
      <c r="AA304" s="47" t="n">
        <f aca="false">MIN(AA303,Inputs!$B$35*AA302,1E+099)</f>
        <v>0</v>
      </c>
      <c r="AB304" s="47" t="n">
        <f aca="false">MIN(AB303,Inputs!$B$35*AB302,1E+099)</f>
        <v>0</v>
      </c>
      <c r="AC304" s="47" t="n">
        <f aca="false">MIN(AC303,Inputs!$B$35*AC302,1E+099)</f>
        <v>0</v>
      </c>
      <c r="AD304" s="47" t="n">
        <f aca="false">MIN(AD303,Inputs!$B$35*AD302,1E+099)</f>
        <v>0</v>
      </c>
      <c r="AE304" s="47" t="n">
        <f aca="false">MIN(AE303,Inputs!$B$35*AE302,1E+099)</f>
        <v>0</v>
      </c>
      <c r="AF304" s="47" t="n">
        <f aca="false">MIN(AF303,Inputs!$B$35*AF302,1E+099)</f>
        <v>0</v>
      </c>
      <c r="AG304" s="47" t="n">
        <f aca="false">MIN(AG303,Inputs!$B$35*AG302,1E+099)</f>
        <v>0</v>
      </c>
      <c r="AH304" s="47" t="n">
        <f aca="false">MIN(AH303,Inputs!$B$35*AH302,1E+099)</f>
        <v>0</v>
      </c>
      <c r="AI304" s="47" t="n">
        <f aca="false">MIN(AI303,Inputs!$B$35*AI302,1E+099)</f>
        <v>0</v>
      </c>
      <c r="AJ304" s="47" t="n">
        <f aca="false">MIN(AJ303,Inputs!$B$35*AJ302,1E+099)</f>
        <v>0</v>
      </c>
      <c r="AK304" s="47" t="n">
        <f aca="false">MIN(AK303,Inputs!$B$35*AK302,1E+099)</f>
        <v>0</v>
      </c>
    </row>
    <row r="305" customFormat="false" ht="15" hidden="false" customHeight="false" outlineLevel="0" collapsed="false">
      <c r="A305" s="10" t="s">
        <v>582</v>
      </c>
      <c r="G305" s="47" t="n">
        <f aca="false">$F$255</f>
        <v>0</v>
      </c>
      <c r="H305" s="47" t="n">
        <f aca="false">G305</f>
        <v>0</v>
      </c>
      <c r="I305" s="47" t="n">
        <f aca="false">H305-H306</f>
        <v>0</v>
      </c>
      <c r="J305" s="47" t="n">
        <f aca="false">I305-I306</f>
        <v>0</v>
      </c>
      <c r="K305" s="47" t="n">
        <f aca="false">J305-J306</f>
        <v>0</v>
      </c>
      <c r="L305" s="47" t="n">
        <f aca="false">K305-K306</f>
        <v>0</v>
      </c>
      <c r="M305" s="47" t="n">
        <f aca="false">L305-L306</f>
        <v>0</v>
      </c>
      <c r="N305" s="47" t="n">
        <f aca="false">M305-M306</f>
        <v>0</v>
      </c>
      <c r="O305" s="47" t="n">
        <f aca="false">N305-N306</f>
        <v>0</v>
      </c>
      <c r="P305" s="47" t="n">
        <f aca="false">O305-O306</f>
        <v>0</v>
      </c>
      <c r="Q305" s="47" t="n">
        <f aca="false">P305-P306</f>
        <v>0</v>
      </c>
      <c r="R305" s="47" t="n">
        <f aca="false">Q305-Q306</f>
        <v>0</v>
      </c>
      <c r="S305" s="47" t="n">
        <f aca="false">R305-R306</f>
        <v>0</v>
      </c>
      <c r="T305" s="47" t="n">
        <f aca="false">S305-S306</f>
        <v>0</v>
      </c>
      <c r="U305" s="47" t="n">
        <f aca="false">T305-T306</f>
        <v>0</v>
      </c>
      <c r="V305" s="47" t="n">
        <f aca="false">U305-U306</f>
        <v>0</v>
      </c>
      <c r="W305" s="47" t="n">
        <f aca="false">V305-V306</f>
        <v>0</v>
      </c>
      <c r="X305" s="47" t="n">
        <f aca="false">W305-W306</f>
        <v>0</v>
      </c>
      <c r="Y305" s="47" t="n">
        <f aca="false">X305-X306</f>
        <v>0</v>
      </c>
      <c r="Z305" s="47" t="n">
        <f aca="false">Y305-Y306</f>
        <v>0</v>
      </c>
      <c r="AA305" s="47" t="n">
        <f aca="false">Z305-Z306</f>
        <v>0</v>
      </c>
      <c r="AB305" s="47" t="n">
        <f aca="false">AA305-AA306</f>
        <v>0</v>
      </c>
      <c r="AC305" s="47" t="n">
        <f aca="false">AB305-AB306</f>
        <v>0</v>
      </c>
      <c r="AD305" s="47" t="n">
        <f aca="false">AC305-AC306</f>
        <v>0</v>
      </c>
      <c r="AE305" s="47" t="n">
        <f aca="false">AD305-AD306</f>
        <v>0</v>
      </c>
      <c r="AF305" s="47" t="n">
        <f aca="false">AE305-AE306</f>
        <v>0</v>
      </c>
      <c r="AG305" s="47" t="n">
        <f aca="false">AF305-AF306</f>
        <v>0</v>
      </c>
      <c r="AH305" s="47" t="n">
        <f aca="false">AG305-AG306</f>
        <v>0</v>
      </c>
      <c r="AI305" s="47" t="n">
        <f aca="false">AH305-AH306</f>
        <v>0</v>
      </c>
      <c r="AJ305" s="47" t="n">
        <f aca="false">AI305-AI306</f>
        <v>0</v>
      </c>
      <c r="AK305" s="47" t="n">
        <f aca="false">AJ305-AJ306</f>
        <v>0</v>
      </c>
    </row>
    <row r="306" customFormat="false" ht="15" hidden="false" customHeight="false" outlineLevel="0" collapsed="false">
      <c r="A306" s="10" t="s">
        <v>576</v>
      </c>
      <c r="H306" s="47" t="n">
        <f aca="false">MIN(H305,Inputs!$B$35*H302-H304)</f>
        <v>0</v>
      </c>
      <c r="I306" s="47" t="n">
        <f aca="false">MIN(I305,Inputs!$B$35*I302-I304)</f>
        <v>0</v>
      </c>
      <c r="J306" s="47" t="n">
        <f aca="false">MIN(J305,Inputs!$B$35*J302-J304)</f>
        <v>0</v>
      </c>
      <c r="K306" s="47" t="n">
        <f aca="false">MIN(K305,Inputs!$B$35*K302-K304)</f>
        <v>0</v>
      </c>
      <c r="L306" s="47" t="n">
        <f aca="false">MIN(L305,Inputs!$B$35*L302-L304)</f>
        <v>0</v>
      </c>
      <c r="M306" s="47" t="n">
        <f aca="false">MIN(M305,Inputs!$B$35*M302-M304)</f>
        <v>0</v>
      </c>
      <c r="N306" s="47" t="n">
        <f aca="false">MIN(N305,Inputs!$B$35*N302-N304)</f>
        <v>0</v>
      </c>
      <c r="O306" s="47" t="n">
        <f aca="false">MIN(O305,Inputs!$B$35*O302-O304)</f>
        <v>0</v>
      </c>
      <c r="P306" s="47" t="n">
        <f aca="false">MIN(P305,Inputs!$B$35*P302-P304)</f>
        <v>0</v>
      </c>
      <c r="Q306" s="47" t="n">
        <f aca="false">MIN(Q305,Inputs!$B$35*Q302-Q304)</f>
        <v>0</v>
      </c>
      <c r="R306" s="47" t="n">
        <f aca="false">MIN(R305,Inputs!$B$35*R302-R304)</f>
        <v>0</v>
      </c>
      <c r="S306" s="47" t="n">
        <f aca="false">MIN(S305,Inputs!$B$35*S302-S304)</f>
        <v>0</v>
      </c>
      <c r="T306" s="47" t="n">
        <f aca="false">MIN(T305,Inputs!$B$35*T302-T304)</f>
        <v>0</v>
      </c>
      <c r="U306" s="47" t="n">
        <f aca="false">MIN(U305,Inputs!$B$35*U302-U304)</f>
        <v>0</v>
      </c>
      <c r="V306" s="47" t="n">
        <f aca="false">MIN(V305,Inputs!$B$35*V302-V304)</f>
        <v>0</v>
      </c>
      <c r="W306" s="47" t="n">
        <f aca="false">MIN(W305,Inputs!$B$35*W302-W304)</f>
        <v>0</v>
      </c>
      <c r="X306" s="47" t="n">
        <f aca="false">MIN(X305,Inputs!$B$35*X302-X304)</f>
        <v>0</v>
      </c>
      <c r="Y306" s="47" t="n">
        <f aca="false">MIN(Y305,Inputs!$B$35*Y302-Y304)</f>
        <v>0</v>
      </c>
      <c r="Z306" s="47" t="n">
        <f aca="false">MIN(Z305,Inputs!$B$35*Z302-Z304)</f>
        <v>0</v>
      </c>
      <c r="AA306" s="47" t="n">
        <f aca="false">MIN(AA305,Inputs!$B$35*AA302-AA304)</f>
        <v>0</v>
      </c>
      <c r="AB306" s="47" t="n">
        <f aca="false">MIN(AB305,Inputs!$B$35*AB302-AB304)</f>
        <v>0</v>
      </c>
      <c r="AC306" s="47" t="n">
        <f aca="false">MIN(AC305,Inputs!$B$35*AC302-AC304)</f>
        <v>0</v>
      </c>
      <c r="AD306" s="47" t="n">
        <f aca="false">MIN(AD305,Inputs!$B$35*AD302-AD304)</f>
        <v>0</v>
      </c>
      <c r="AE306" s="47" t="n">
        <f aca="false">MIN(AE305,Inputs!$B$35*AE302-AE304)</f>
        <v>0</v>
      </c>
      <c r="AF306" s="47" t="n">
        <f aca="false">MIN(AF305,Inputs!$B$35*AF302-AF304)</f>
        <v>0</v>
      </c>
      <c r="AG306" s="47" t="n">
        <f aca="false">MIN(AG305,Inputs!$B$35*AG302-AG304)</f>
        <v>0</v>
      </c>
      <c r="AH306" s="47" t="n">
        <f aca="false">MIN(AH305,Inputs!$B$35*AH302-AH304)</f>
        <v>0</v>
      </c>
      <c r="AI306" s="47" t="n">
        <f aca="false">MIN(AI305,Inputs!$B$35*AI302-AI304)</f>
        <v>0</v>
      </c>
      <c r="AJ306" s="47" t="n">
        <f aca="false">MIN(AJ305,Inputs!$B$35*AJ302-AJ304)</f>
        <v>0</v>
      </c>
      <c r="AK306" s="47" t="n">
        <f aca="false">MIN(AK305,Inputs!$B$35*AK302-AK304)</f>
        <v>0</v>
      </c>
    </row>
    <row r="307" customFormat="false" ht="15" hidden="false" customHeight="false" outlineLevel="0" collapsed="false">
      <c r="A307" s="10" t="s">
        <v>583</v>
      </c>
      <c r="H307" s="47" t="n">
        <f aca="false">(H302-H304-H306)*Inputs!$B$33</f>
        <v>1.9152452210156</v>
      </c>
      <c r="I307" s="47" t="n">
        <f aca="false">(I302-I304-I306)*Inputs!$B$33</f>
        <v>1.9152452210156</v>
      </c>
      <c r="J307" s="47" t="n">
        <f aca="false">(J302-J304-J306)*Inputs!$B$33</f>
        <v>1.9152452210156</v>
      </c>
      <c r="K307" s="47" t="n">
        <f aca="false">(K302-K304-K306)*Inputs!$B$33</f>
        <v>1.9152452210156</v>
      </c>
      <c r="L307" s="47" t="n">
        <f aca="false">(L302-L304-L306)*Inputs!$B$33</f>
        <v>1.9152452210156</v>
      </c>
      <c r="M307" s="47" t="n">
        <f aca="false">(M302-M304-M306)*Inputs!$B$33</f>
        <v>1.9152452210156</v>
      </c>
      <c r="N307" s="47" t="n">
        <f aca="false">(N302-N304-N306)*Inputs!$B$33</f>
        <v>1.9152452210156</v>
      </c>
      <c r="O307" s="47" t="n">
        <f aca="false">(O302-O304-O306)*Inputs!$B$33</f>
        <v>1.9152452210156</v>
      </c>
      <c r="P307" s="47" t="n">
        <f aca="false">(P302-P304-P306)*Inputs!$B$33</f>
        <v>1.9152452210156</v>
      </c>
      <c r="Q307" s="47" t="n">
        <f aca="false">(Q302-Q304-Q306)*Inputs!$B$33</f>
        <v>1.9152452210156</v>
      </c>
      <c r="R307" s="47" t="n">
        <f aca="false">(R302-R304-R306)*Inputs!$B$33</f>
        <v>1.9152452210156</v>
      </c>
      <c r="S307" s="47" t="n">
        <f aca="false">(S302-S304-S306)*Inputs!$B$33</f>
        <v>1.9152452210156</v>
      </c>
      <c r="T307" s="47" t="n">
        <f aca="false">(T302-T304-T306)*Inputs!$B$33</f>
        <v>1.9152452210156</v>
      </c>
      <c r="U307" s="47" t="n">
        <f aca="false">(U302-U304-U306)*Inputs!$B$33</f>
        <v>1.9152452210156</v>
      </c>
      <c r="V307" s="47" t="n">
        <f aca="false">(V302-V304-V306)*Inputs!$B$33</f>
        <v>1.9152452210156</v>
      </c>
      <c r="W307" s="47" t="n">
        <f aca="false">(W302-W304-W306)*Inputs!$B$33</f>
        <v>1.9152452210156</v>
      </c>
      <c r="X307" s="47" t="n">
        <f aca="false">(X302-X304-X306)*Inputs!$B$33</f>
        <v>1.9152452210156</v>
      </c>
      <c r="Y307" s="47" t="n">
        <f aca="false">(Y302-Y304-Y306)*Inputs!$B$33</f>
        <v>1.9152452210156</v>
      </c>
      <c r="Z307" s="47" t="n">
        <f aca="false">(Z302-Z304-Z306)*Inputs!$B$33</f>
        <v>1.9152452210156</v>
      </c>
      <c r="AA307" s="47" t="n">
        <f aca="false">(AA302-AA304-AA306)*Inputs!$B$33</f>
        <v>1.9152452210156</v>
      </c>
      <c r="AB307" s="47" t="n">
        <f aca="false">(AB302-AB304-AB306)*Inputs!$B$33</f>
        <v>1.9152452210156</v>
      </c>
      <c r="AC307" s="47" t="n">
        <f aca="false">(AC302-AC304-AC306)*Inputs!$B$33</f>
        <v>1.9152452210156</v>
      </c>
      <c r="AD307" s="47" t="n">
        <f aca="false">(AD302-AD304-AD306)*Inputs!$B$33</f>
        <v>1.9152452210156</v>
      </c>
      <c r="AE307" s="47" t="n">
        <f aca="false">(AE302-AE304-AE306)*Inputs!$B$33</f>
        <v>1.9152452210156</v>
      </c>
      <c r="AF307" s="47" t="n">
        <f aca="false">(AF302-AF304-AF306)*Inputs!$B$33</f>
        <v>1.9152452210156</v>
      </c>
      <c r="AG307" s="47" t="n">
        <f aca="false">(AG302-AG304-AG306)*Inputs!$B$33</f>
        <v>1.9152452210156</v>
      </c>
      <c r="AH307" s="47" t="n">
        <f aca="false">(AH302-AH304-AH306)*Inputs!$B$33</f>
        <v>1.9152452210156</v>
      </c>
      <c r="AI307" s="47" t="n">
        <f aca="false">(AI302-AI304-AI306)*Inputs!$B$33</f>
        <v>1.9152452210156</v>
      </c>
      <c r="AJ307" s="47" t="n">
        <f aca="false">(AJ302-AJ304-AJ306)*Inputs!$B$33</f>
        <v>1.9152452210156</v>
      </c>
      <c r="AK307" s="47" t="n">
        <f aca="false">(AK302-AK304-AK306)*Inputs!$B$33</f>
        <v>1.9152452210156</v>
      </c>
    </row>
    <row r="308" customFormat="false" ht="15" hidden="false" customHeight="false" outlineLevel="0" collapsed="false">
      <c r="A308" s="10" t="s">
        <v>584</v>
      </c>
      <c r="G308" s="47" t="n">
        <f aca="false">$F$258</f>
        <v>0</v>
      </c>
      <c r="H308" s="47" t="n">
        <f aca="false">G308</f>
        <v>0</v>
      </c>
      <c r="I308" s="47" t="n">
        <f aca="false">H308-H309</f>
        <v>0</v>
      </c>
      <c r="J308" s="47" t="n">
        <f aca="false">I308-I309</f>
        <v>0</v>
      </c>
      <c r="K308" s="47" t="n">
        <f aca="false">J308-J309</f>
        <v>0</v>
      </c>
      <c r="L308" s="47" t="n">
        <f aca="false">K308-K309</f>
        <v>0</v>
      </c>
      <c r="M308" s="47" t="n">
        <f aca="false">L308-L309</f>
        <v>0</v>
      </c>
      <c r="N308" s="47" t="n">
        <f aca="false">M308-M309</f>
        <v>0</v>
      </c>
      <c r="O308" s="47" t="n">
        <f aca="false">N308-N309</f>
        <v>0</v>
      </c>
      <c r="P308" s="47" t="n">
        <f aca="false">O308-O309</f>
        <v>0</v>
      </c>
      <c r="Q308" s="47" t="n">
        <f aca="false">P308-P309</f>
        <v>0</v>
      </c>
      <c r="R308" s="47" t="n">
        <f aca="false">Q308-Q309</f>
        <v>0</v>
      </c>
      <c r="S308" s="47" t="n">
        <f aca="false">R308-R309</f>
        <v>0</v>
      </c>
      <c r="T308" s="47" t="n">
        <f aca="false">S308-S309</f>
        <v>0</v>
      </c>
      <c r="U308" s="47" t="n">
        <f aca="false">T308-T309</f>
        <v>0</v>
      </c>
      <c r="V308" s="47" t="n">
        <f aca="false">U308-U309</f>
        <v>0</v>
      </c>
      <c r="W308" s="47" t="n">
        <f aca="false">V308-V309</f>
        <v>0</v>
      </c>
      <c r="X308" s="47" t="n">
        <f aca="false">W308-W309</f>
        <v>0</v>
      </c>
      <c r="Y308" s="47" t="n">
        <f aca="false">X308-X309</f>
        <v>0</v>
      </c>
      <c r="Z308" s="47" t="n">
        <f aca="false">Y308-Y309</f>
        <v>0</v>
      </c>
      <c r="AA308" s="47" t="n">
        <f aca="false">Z308-Z309</f>
        <v>0</v>
      </c>
      <c r="AB308" s="47" t="n">
        <f aca="false">AA308-AA309</f>
        <v>0</v>
      </c>
      <c r="AC308" s="47" t="n">
        <f aca="false">AB308-AB309</f>
        <v>0</v>
      </c>
      <c r="AD308" s="47" t="n">
        <f aca="false">AC308-AC309</f>
        <v>0</v>
      </c>
      <c r="AE308" s="47" t="n">
        <f aca="false">AD308-AD309</f>
        <v>0</v>
      </c>
      <c r="AF308" s="47" t="n">
        <f aca="false">AE308-AE309</f>
        <v>0</v>
      </c>
      <c r="AG308" s="47" t="n">
        <f aca="false">AF308-AF309</f>
        <v>0</v>
      </c>
      <c r="AH308" s="47" t="n">
        <f aca="false">AG308-AG309</f>
        <v>0</v>
      </c>
      <c r="AI308" s="47" t="n">
        <f aca="false">AH308-AH309</f>
        <v>0</v>
      </c>
      <c r="AJ308" s="47" t="n">
        <f aca="false">AI308-AI309</f>
        <v>0</v>
      </c>
      <c r="AK308" s="47" t="n">
        <f aca="false">AJ308-AJ309</f>
        <v>0</v>
      </c>
    </row>
    <row r="309" customFormat="false" ht="15" hidden="false" customHeight="false" outlineLevel="0" collapsed="false">
      <c r="A309" s="10" t="s">
        <v>585</v>
      </c>
      <c r="H309" s="47" t="n">
        <f aca="false">IF(1&lt;=Inputs!$B$43,MIN(H308,H307,MAX(0,1E+099-H304)*Inputs!$B$33),0)</f>
        <v>0</v>
      </c>
      <c r="I309" s="47" t="n">
        <f aca="false">IF(2&lt;=Inputs!$B$43,MIN(I308,I307,MAX(0,1E+099-I304)*Inputs!$B$33),0)</f>
        <v>0</v>
      </c>
      <c r="J309" s="47" t="n">
        <f aca="false">IF(3&lt;=Inputs!$B$43,MIN(J308,J307,MAX(0,1E+099-J304)*Inputs!$B$33),0)</f>
        <v>0</v>
      </c>
      <c r="K309" s="47" t="n">
        <f aca="false">IF(4&lt;=Inputs!$B$43,MIN(K308,K307,MAX(0,1E+099-K304)*Inputs!$B$33),0)</f>
        <v>0</v>
      </c>
      <c r="L309" s="47" t="n">
        <f aca="false">IF(5&lt;=Inputs!$B$43,MIN(L308,L307,MAX(0,1E+099-L304)*Inputs!$B$33),0)</f>
        <v>0</v>
      </c>
      <c r="M309" s="47" t="n">
        <f aca="false">IF(6&lt;=Inputs!$B$43,MIN(M308,M307,MAX(0,1E+099-M304)*Inputs!$B$33),0)</f>
        <v>0</v>
      </c>
      <c r="N309" s="47" t="n">
        <f aca="false">IF(7&lt;=Inputs!$B$43,MIN(N308,N307,MAX(0,1E+099-N304)*Inputs!$B$33),0)</f>
        <v>0</v>
      </c>
      <c r="O309" s="47" t="n">
        <f aca="false">IF(8&lt;=Inputs!$B$43,MIN(O308,O307,MAX(0,1E+099-O304)*Inputs!$B$33),0)</f>
        <v>0</v>
      </c>
      <c r="P309" s="47" t="n">
        <f aca="false">IF(9&lt;=Inputs!$B$43,MIN(P308,P307,MAX(0,1E+099-P304)*Inputs!$B$33),0)</f>
        <v>0</v>
      </c>
      <c r="Q309" s="47" t="n">
        <f aca="false">IF(10&lt;=Inputs!$B$43,MIN(Q308,Q307,MAX(0,1E+099-Q304)*Inputs!$B$33),0)</f>
        <v>0</v>
      </c>
      <c r="R309" s="47" t="n">
        <f aca="false">IF(11&lt;=Inputs!$B$43,MIN(R308,R307,MAX(0,1E+099-R304)*Inputs!$B$33),0)</f>
        <v>0</v>
      </c>
      <c r="S309" s="47" t="n">
        <f aca="false">IF(12&lt;=Inputs!$B$43,MIN(S308,S307,MAX(0,1E+099-S304)*Inputs!$B$33),0)</f>
        <v>0</v>
      </c>
      <c r="T309" s="47" t="n">
        <f aca="false">IF(13&lt;=Inputs!$B$43,MIN(T308,T307,MAX(0,1E+099-T304)*Inputs!$B$33),0)</f>
        <v>0</v>
      </c>
      <c r="U309" s="47" t="n">
        <f aca="false">IF(14&lt;=Inputs!$B$43,MIN(U308,U307,MAX(0,1E+099-U304)*Inputs!$B$33),0)</f>
        <v>0</v>
      </c>
      <c r="V309" s="47" t="n">
        <f aca="false">IF(15&lt;=Inputs!$B$43,MIN(V308,V307,MAX(0,1E+099-V304)*Inputs!$B$33),0)</f>
        <v>0</v>
      </c>
      <c r="W309" s="47" t="n">
        <f aca="false">IF(16&lt;=Inputs!$B$43,MIN(W308,W307,MAX(0,1E+099-W304)*Inputs!$B$33),0)</f>
        <v>0</v>
      </c>
      <c r="X309" s="47" t="n">
        <f aca="false">IF(17&lt;=Inputs!$B$43,MIN(X308,X307,MAX(0,1E+099-X304)*Inputs!$B$33),0)</f>
        <v>0</v>
      </c>
      <c r="Y309" s="47" t="n">
        <f aca="false">IF(18&lt;=Inputs!$B$43,MIN(Y308,Y307,MAX(0,1E+099-Y304)*Inputs!$B$33),0)</f>
        <v>0</v>
      </c>
      <c r="Z309" s="47" t="n">
        <f aca="false">IF(19&lt;=Inputs!$B$43,MIN(Z308,Z307,MAX(0,1E+099-Z304)*Inputs!$B$33),0)</f>
        <v>0</v>
      </c>
      <c r="AA309" s="47" t="n">
        <f aca="false">IF(20&lt;=Inputs!$B$43,MIN(AA308,AA307,MAX(0,1E+099-AA304)*Inputs!$B$33),0)</f>
        <v>0</v>
      </c>
      <c r="AB309" s="47" t="n">
        <f aca="false">IF(21&lt;=Inputs!$B$43,MIN(AB308,AB307,MAX(0,1E+099-AB304)*Inputs!$B$33),0)</f>
        <v>0</v>
      </c>
      <c r="AC309" s="47" t="n">
        <f aca="false">IF(22&lt;=Inputs!$B$43,MIN(AC308,AC307,MAX(0,1E+099-AC304)*Inputs!$B$33),0)</f>
        <v>0</v>
      </c>
      <c r="AD309" s="47" t="n">
        <f aca="false">IF(23&lt;=Inputs!$B$43,MIN(AD308,AD307,MAX(0,1E+099-AD304)*Inputs!$B$33),0)</f>
        <v>0</v>
      </c>
      <c r="AE309" s="47" t="n">
        <f aca="false">IF(24&lt;=Inputs!$B$43,MIN(AE308,AE307,MAX(0,1E+099-AE304)*Inputs!$B$33),0)</f>
        <v>0</v>
      </c>
      <c r="AF309" s="47" t="n">
        <f aca="false">IF(25&lt;=Inputs!$B$43,MIN(AF308,AF307,MAX(0,1E+099-AF304)*Inputs!$B$33),0)</f>
        <v>0</v>
      </c>
      <c r="AG309" s="47" t="n">
        <f aca="false">IF(26&lt;=Inputs!$B$43,MIN(AG308,AG307,MAX(0,1E+099-AG304)*Inputs!$B$33),0)</f>
        <v>0</v>
      </c>
      <c r="AH309" s="47" t="n">
        <f aca="false">IF(27&lt;=Inputs!$B$43,MIN(AH308,AH307,MAX(0,1E+099-AH304)*Inputs!$B$33),0)</f>
        <v>0</v>
      </c>
      <c r="AI309" s="47" t="n">
        <f aca="false">IF(28&lt;=Inputs!$B$43,MIN(AI308,AI307,MAX(0,1E+099-AI304)*Inputs!$B$33),0)</f>
        <v>0</v>
      </c>
      <c r="AJ309" s="47" t="n">
        <f aca="false">IF(29&lt;=Inputs!$B$43,MIN(AJ308,AJ307,MAX(0,1E+099-AJ304)*Inputs!$B$33),0)</f>
        <v>0</v>
      </c>
      <c r="AK309" s="47" t="n">
        <f aca="false">IF(30&lt;=Inputs!$B$43,MIN(AK308,AK307,MAX(0,1E+099-AK304)*Inputs!$B$33),0)</f>
        <v>0</v>
      </c>
    </row>
    <row r="310" customFormat="false" ht="15" hidden="false" customHeight="false" outlineLevel="0" collapsed="false">
      <c r="A310" s="10" t="s">
        <v>586</v>
      </c>
      <c r="H310" s="47" t="n">
        <f aca="false">($B$295*Inputs!$B$34+($B$295-$B$295*Inputs!$B$34)*Inputs!$B$33)-(H301+H307-H309)</f>
        <v>0</v>
      </c>
      <c r="I310" s="47" t="n">
        <f aca="false">($B$295*Inputs!$B$34+($B$295-$B$295*Inputs!$B$34)*Inputs!$B$33)-(I301+I307-I309)</f>
        <v>0</v>
      </c>
      <c r="J310" s="47" t="n">
        <f aca="false">($B$295*Inputs!$B$34+($B$295-$B$295*Inputs!$B$34)*Inputs!$B$33)-(J301+J307-J309)</f>
        <v>0</v>
      </c>
      <c r="K310" s="47" t="n">
        <f aca="false">($B$295*Inputs!$B$34+($B$295-$B$295*Inputs!$B$34)*Inputs!$B$33)-(K301+K307-K309)</f>
        <v>0</v>
      </c>
      <c r="L310" s="47" t="n">
        <f aca="false">($B$295*Inputs!$B$34+($B$295-$B$295*Inputs!$B$34)*Inputs!$B$33)-(L301+L307-L309)</f>
        <v>0</v>
      </c>
      <c r="M310" s="47" t="n">
        <f aca="false">($B$295*Inputs!$B$34+($B$295-$B$295*Inputs!$B$34)*Inputs!$B$33)-(M301+M307-M309)</f>
        <v>0</v>
      </c>
      <c r="N310" s="47" t="n">
        <f aca="false">($B$295*Inputs!$B$34+($B$295-$B$295*Inputs!$B$34)*Inputs!$B$33)-(N301+N307-N309)</f>
        <v>0</v>
      </c>
      <c r="O310" s="47" t="n">
        <f aca="false">($B$295*Inputs!$B$34+($B$295-$B$295*Inputs!$B$34)*Inputs!$B$33)-(O301+O307-O309)</f>
        <v>0</v>
      </c>
      <c r="P310" s="47" t="n">
        <f aca="false">($B$295*Inputs!$B$34+($B$295-$B$295*Inputs!$B$34)*Inputs!$B$33)-(P301+P307-P309)</f>
        <v>0</v>
      </c>
      <c r="Q310" s="47" t="n">
        <f aca="false">($B$295*Inputs!$B$34+($B$295-$B$295*Inputs!$B$34)*Inputs!$B$33)-(Q301+Q307-Q309)</f>
        <v>0</v>
      </c>
      <c r="R310" s="47" t="n">
        <f aca="false">($B$295*Inputs!$B$34+($B$295-$B$295*Inputs!$B$34)*Inputs!$B$33)-(R301+R307-R309)</f>
        <v>0</v>
      </c>
      <c r="S310" s="47" t="n">
        <f aca="false">($B$295*Inputs!$B$34+($B$295-$B$295*Inputs!$B$34)*Inputs!$B$33)-(S301+S307-S309)</f>
        <v>0</v>
      </c>
      <c r="T310" s="47" t="n">
        <f aca="false">($B$295*Inputs!$B$34+($B$295-$B$295*Inputs!$B$34)*Inputs!$B$33)-(T301+T307-T309)</f>
        <v>0</v>
      </c>
      <c r="U310" s="47" t="n">
        <f aca="false">($B$295*Inputs!$B$34+($B$295-$B$295*Inputs!$B$34)*Inputs!$B$33)-(U301+U307-U309)</f>
        <v>0</v>
      </c>
      <c r="V310" s="47" t="n">
        <f aca="false">($B$295*Inputs!$B$34+($B$295-$B$295*Inputs!$B$34)*Inputs!$B$33)-(V301+V307-V309)</f>
        <v>0</v>
      </c>
      <c r="W310" s="47" t="n">
        <f aca="false">($B$295*Inputs!$B$34+($B$295-$B$295*Inputs!$B$34)*Inputs!$B$33)-(W301+W307-W309)</f>
        <v>0</v>
      </c>
      <c r="X310" s="47" t="n">
        <f aca="false">($B$295*Inputs!$B$34+($B$295-$B$295*Inputs!$B$34)*Inputs!$B$33)-(X301+X307-X309)</f>
        <v>0</v>
      </c>
      <c r="Y310" s="47" t="n">
        <f aca="false">($B$295*Inputs!$B$34+($B$295-$B$295*Inputs!$B$34)*Inputs!$B$33)-(Y301+Y307-Y309)</f>
        <v>0</v>
      </c>
      <c r="Z310" s="47" t="n">
        <f aca="false">($B$295*Inputs!$B$34+($B$295-$B$295*Inputs!$B$34)*Inputs!$B$33)-(Z301+Z307-Z309)</f>
        <v>0</v>
      </c>
      <c r="AA310" s="47" t="n">
        <f aca="false">($B$295*Inputs!$B$34+($B$295-$B$295*Inputs!$B$34)*Inputs!$B$33)-(AA301+AA307-AA309)</f>
        <v>0</v>
      </c>
      <c r="AB310" s="47" t="n">
        <f aca="false">($B$295*Inputs!$B$34+($B$295-$B$295*Inputs!$B$34)*Inputs!$B$33)-(AB301+AB307-AB309)</f>
        <v>0</v>
      </c>
      <c r="AC310" s="47" t="n">
        <f aca="false">($B$295*Inputs!$B$34+($B$295-$B$295*Inputs!$B$34)*Inputs!$B$33)-(AC301+AC307-AC309)</f>
        <v>0</v>
      </c>
      <c r="AD310" s="47" t="n">
        <f aca="false">($B$295*Inputs!$B$34+($B$295-$B$295*Inputs!$B$34)*Inputs!$B$33)-(AD301+AD307-AD309)</f>
        <v>0</v>
      </c>
      <c r="AE310" s="47" t="n">
        <f aca="false">($B$295*Inputs!$B$34+($B$295-$B$295*Inputs!$B$34)*Inputs!$B$33)-(AE301+AE307-AE309)</f>
        <v>0</v>
      </c>
      <c r="AF310" s="47" t="n">
        <f aca="false">($B$295*Inputs!$B$34+($B$295-$B$295*Inputs!$B$34)*Inputs!$B$33)-(AF301+AF307-AF309)</f>
        <v>0</v>
      </c>
      <c r="AG310" s="47" t="n">
        <f aca="false">($B$295*Inputs!$B$34+($B$295-$B$295*Inputs!$B$34)*Inputs!$B$33)-(AG301+AG307-AG309)</f>
        <v>0</v>
      </c>
      <c r="AH310" s="47" t="n">
        <f aca="false">($B$295*Inputs!$B$34+($B$295-$B$295*Inputs!$B$34)*Inputs!$B$33)-(AH301+AH307-AH309)</f>
        <v>0</v>
      </c>
      <c r="AI310" s="47" t="n">
        <f aca="false">($B$295*Inputs!$B$34+($B$295-$B$295*Inputs!$B$34)*Inputs!$B$33)-(AI301+AI307-AI309)</f>
        <v>0</v>
      </c>
      <c r="AJ310" s="47" t="n">
        <f aca="false">($B$295*Inputs!$B$34+($B$295-$B$295*Inputs!$B$34)*Inputs!$B$33)-(AJ301+AJ307-AJ309)</f>
        <v>0</v>
      </c>
      <c r="AK310" s="47" t="n">
        <f aca="false">($B$295*Inputs!$B$34+($B$295-$B$295*Inputs!$B$34)*Inputs!$B$33)-(AK301+AK307-AK309)</f>
        <v>0</v>
      </c>
    </row>
    <row r="311" customFormat="false" ht="15" hidden="false" customHeight="false" outlineLevel="0" collapsed="false">
      <c r="A311" s="10" t="s">
        <v>587</v>
      </c>
      <c r="B311" s="47" t="n">
        <f aca="false">SUMPRODUCT($H$310:$AK$310,$H$296:$AK$296)</f>
        <v>0</v>
      </c>
    </row>
    <row r="312" customFormat="false" ht="15" hidden="false" customHeight="false" outlineLevel="0" collapsed="false">
      <c r="A312" s="10" t="s">
        <v>588</v>
      </c>
      <c r="B312" s="47" t="n">
        <f aca="false">Inputs!$B$42*$B$311*$F$527</f>
        <v>0</v>
      </c>
    </row>
    <row r="313" customFormat="false" ht="15" hidden="false" customHeight="false" outlineLevel="0" collapsed="false">
      <c r="A313" s="10" t="s">
        <v>589</v>
      </c>
      <c r="B313" s="47" t="n">
        <f aca="false">$B$279</f>
        <v>32.8666884422111</v>
      </c>
    </row>
    <row r="314" customFormat="false" ht="15" hidden="false" customHeight="false" outlineLevel="0" collapsed="false">
      <c r="A314" s="10" t="s">
        <v>590</v>
      </c>
      <c r="B314" s="47" t="n">
        <f aca="false">Inputs!$B$18*IF(ISNUMBER($B$110),$B$110,Inputs!$B$12)</f>
        <v>1.20076658132288</v>
      </c>
    </row>
    <row r="315" customFormat="false" ht="15" hidden="false" customHeight="false" outlineLevel="0" collapsed="false">
      <c r="A315" s="10" t="s">
        <v>591</v>
      </c>
      <c r="B315" s="47" t="n">
        <f aca="false">SUMPRODUCT($C$274:$F$274,$C$527:$F$527)</f>
        <v>0</v>
      </c>
    </row>
    <row r="316" customFormat="false" ht="15" hidden="false" customHeight="false" outlineLevel="0" collapsed="false">
      <c r="A316" s="13" t="s">
        <v>592</v>
      </c>
      <c r="B316" s="18" t="n">
        <f aca="false">$B$294+$B$312+$B$313+$B$314-$B$315</f>
        <v>205.579687603108</v>
      </c>
    </row>
    <row r="317" customFormat="false" ht="15" hidden="false" customHeight="false" outlineLevel="0" collapsed="false">
      <c r="A317" s="10" t="s">
        <v>593</v>
      </c>
      <c r="B317" s="25" t="n">
        <f aca="false">Historicals!$B$89+Inputs!$B$17</f>
        <v>3.967329173</v>
      </c>
    </row>
    <row r="318" customFormat="false" ht="15" hidden="false" customHeight="false" outlineLevel="0" collapsed="false">
      <c r="A318" s="10" t="s">
        <v>594</v>
      </c>
      <c r="B318" s="32" t="n">
        <f aca="false">IFERROR(($B$316-$B$273*(1-Inputs!$B$70))/$B$317,0)</f>
        <v>51.8181574148669</v>
      </c>
    </row>
    <row r="319" customFormat="false" ht="15" hidden="false" customHeight="false" outlineLevel="0" collapsed="false">
      <c r="A319" s="10" t="s">
        <v>595</v>
      </c>
      <c r="B319" s="25" t="n">
        <f aca="false">IF($B$318&gt;0,$B$273/($B$318*(1-Inputs!$B$71)),0)</f>
        <v>0</v>
      </c>
    </row>
    <row r="320" customFormat="false" ht="15" hidden="false" customHeight="false" outlineLevel="0" collapsed="false">
      <c r="A320" s="10" t="s">
        <v>596</v>
      </c>
      <c r="B320" s="32" t="n">
        <f aca="false">IFERROR($B$316/($B$317+$B$319),0)</f>
        <v>51.8181574148669</v>
      </c>
    </row>
    <row r="321" customFormat="false" ht="15" hidden="false" customHeight="false" outlineLevel="0" collapsed="false">
      <c r="A321" s="10" t="s">
        <v>597</v>
      </c>
      <c r="B321" s="47" t="n">
        <f aca="false">SUMPRODUCT($C$273:$F$273,$C$527:$F$527)</f>
        <v>0</v>
      </c>
    </row>
    <row r="322" customFormat="false" ht="15" hidden="false" customHeight="false" outlineLevel="0" collapsed="false">
      <c r="A322" s="10" t="s">
        <v>598</v>
      </c>
      <c r="B322" s="25" t="n">
        <f aca="false">IF($B$320&gt;0,$B$319+$B$321/($B$320*(1-Inputs!$B$71)),0)</f>
        <v>0</v>
      </c>
    </row>
    <row r="323" customFormat="false" ht="15" hidden="false" customHeight="false" outlineLevel="0" collapsed="false">
      <c r="A323" s="13" t="s">
        <v>599</v>
      </c>
      <c r="B323" s="15" t="n">
        <f aca="false">IFERROR(($B$316+$B$321)/($B$317+$B$322),0)</f>
        <v>51.8181574148669</v>
      </c>
    </row>
    <row r="324" customFormat="false" ht="15" hidden="false" customHeight="false" outlineLevel="0" collapsed="false">
      <c r="A324" s="10" t="s">
        <v>600</v>
      </c>
      <c r="B324" s="49" t="str">
        <f aca="false">IF($F$281&gt;Inputs!$B$73,"Not meaningful: funding need above limit",IF(OR($B$285&lt;=0,$B$290&lt;=0),"Not meaningful: 2030 profit or cash flow negative",IF(OR($B$289&lt;=0,$B$293&lt;=0),"Not meaningful: a method gives zero or negative value",IF($B$316&lt;=0,"Not meaningful: value at or below zero","OK"))))</f>
        <v>OK</v>
      </c>
    </row>
    <row r="325" customFormat="false" ht="15" hidden="false" customHeight="false" outlineLevel="0" collapsed="false">
      <c r="A325" s="13" t="s">
        <v>601</v>
      </c>
      <c r="B325" s="15" t="n">
        <f aca="false">IF($B$324="OK",$B$323,"unresolved")</f>
        <v>51.8181574148669</v>
      </c>
    </row>
    <row r="326" customFormat="false" ht="15" hidden="false" customHeight="false" outlineLevel="0" collapsed="false">
      <c r="A326" s="10" t="s">
        <v>602</v>
      </c>
      <c r="B326" s="47" t="n">
        <f aca="false">IF(ISNUMBER($B$325),$B$325*$B$317,"unresolved")</f>
        <v>205.579687603108</v>
      </c>
    </row>
    <row r="327" customFormat="false" ht="15" hidden="false" customHeight="false" outlineLevel="0" collapsed="false">
      <c r="A327" s="10" t="s">
        <v>603</v>
      </c>
      <c r="B327" s="47" t="n">
        <f aca="false">IFERROR($B$316-$B$273*(1-Inputs!$B$70)-$B$326,"n/a")</f>
        <v>0</v>
      </c>
    </row>
    <row r="329" customFormat="false" ht="15" hidden="false" customHeight="false" outlineLevel="0" collapsed="false">
      <c r="A329" s="8" t="s">
        <v>626</v>
      </c>
      <c r="B329" s="9" t="s">
        <v>495</v>
      </c>
      <c r="C329" s="9" t="s">
        <v>496</v>
      </c>
      <c r="D329" s="9" t="s">
        <v>497</v>
      </c>
      <c r="E329" s="9" t="s">
        <v>498</v>
      </c>
      <c r="F329" s="9" t="s">
        <v>499</v>
      </c>
    </row>
    <row r="330" customFormat="false" ht="15" hidden="false" customHeight="false" outlineLevel="0" collapsed="false">
      <c r="A330" s="10" t="s">
        <v>605</v>
      </c>
      <c r="B330" s="47" t="n">
        <f aca="false">Historicals!$C$73+Inputs!$C$120</f>
        <v>78.81</v>
      </c>
      <c r="C330" s="47" t="n">
        <f aca="false">B330*(1+Inputs!$C$124)</f>
        <v>81.1743</v>
      </c>
      <c r="D330" s="47" t="n">
        <f aca="false">C330*(1+Inputs!$C$125)</f>
        <v>85.233015</v>
      </c>
      <c r="E330" s="47" t="n">
        <f aca="false">D330*(1+Inputs!$C$126)</f>
        <v>89.49466575</v>
      </c>
      <c r="F330" s="47" t="n">
        <f aca="false">E330*(1+Inputs!$C$127)</f>
        <v>93.9693990375</v>
      </c>
    </row>
    <row r="331" customFormat="false" ht="15" hidden="false" customHeight="false" outlineLevel="0" collapsed="false">
      <c r="A331" s="10" t="s">
        <v>606</v>
      </c>
      <c r="B331" s="47" t="n">
        <f aca="false">Historicals!$C$74+Inputs!$C$121</f>
        <v>11.728</v>
      </c>
      <c r="C331" s="47" t="n">
        <f aca="false">B331*(1+Inputs!$C$128)</f>
        <v>14.0736</v>
      </c>
      <c r="D331" s="47" t="n">
        <f aca="false">C331*(1+Inputs!$C$129)</f>
        <v>16.88832</v>
      </c>
      <c r="E331" s="47" t="n">
        <f aca="false">D331*(1+Inputs!$C$130)</f>
        <v>20.265984</v>
      </c>
      <c r="F331" s="47" t="n">
        <f aca="false">E331*(1+Inputs!$C$131)</f>
        <v>24.3191808</v>
      </c>
    </row>
    <row r="332" customFormat="false" ht="15" hidden="false" customHeight="false" outlineLevel="0" collapsed="false">
      <c r="A332" s="10" t="s">
        <v>607</v>
      </c>
      <c r="B332" s="47" t="n">
        <f aca="false">Historicals!$C$75+Inputs!$C$122</f>
        <v>17.831</v>
      </c>
      <c r="C332" s="47" t="n">
        <f aca="false">B332*(1+Inputs!$C$132)</f>
        <v>21.04058</v>
      </c>
      <c r="D332" s="47" t="n">
        <f aca="false">C332*(1+Inputs!$C$133)</f>
        <v>24.8278844</v>
      </c>
      <c r="E332" s="47" t="n">
        <f aca="false">D332*(1+Inputs!$C$134)</f>
        <v>29.296903592</v>
      </c>
      <c r="F332" s="47" t="n">
        <f aca="false">E332*(1+Inputs!$C$135)</f>
        <v>34.57034623856</v>
      </c>
    </row>
    <row r="333" customFormat="false" ht="15" hidden="false" customHeight="false" outlineLevel="0" collapsed="false">
      <c r="A333" s="10" t="s">
        <v>608</v>
      </c>
      <c r="B333" s="26" t="n">
        <v>0</v>
      </c>
      <c r="C333" s="47" t="n">
        <f aca="false">Inputs!$C$151*Inputs!$C$136</f>
        <v>11.9930718695424</v>
      </c>
      <c r="D333" s="47" t="n">
        <f aca="false">Inputs!$C$151*Inputs!$C$137</f>
        <v>47.9722874781695</v>
      </c>
      <c r="E333" s="47" t="n">
        <f aca="false">Inputs!$C$151*Inputs!$C$138</f>
        <v>119.930718695424</v>
      </c>
      <c r="F333" s="47" t="n">
        <f aca="false">Inputs!$C$151*Inputs!$C$139</f>
        <v>239.861437390847</v>
      </c>
    </row>
    <row r="334" customFormat="false" ht="15" hidden="false" customHeight="false" outlineLevel="0" collapsed="false">
      <c r="A334" s="13" t="s">
        <v>108</v>
      </c>
      <c r="B334" s="18" t="n">
        <f aca="false">B330+B331+B332+B333</f>
        <v>108.369</v>
      </c>
      <c r="C334" s="18" t="n">
        <f aca="false">C330+C331+C332+C333</f>
        <v>128.281551869542</v>
      </c>
      <c r="D334" s="18" t="n">
        <f aca="false">D330+D331+D332+D333</f>
        <v>174.92150687817</v>
      </c>
      <c r="E334" s="18" t="n">
        <f aca="false">E330+E331+E332+E333</f>
        <v>258.988272037424</v>
      </c>
      <c r="F334" s="18" t="n">
        <f aca="false">F330+F331+F332+F333</f>
        <v>392.720363466907</v>
      </c>
    </row>
    <row r="335" customFormat="false" ht="15" hidden="false" customHeight="false" outlineLevel="0" collapsed="false">
      <c r="A335" s="10" t="s">
        <v>501</v>
      </c>
      <c r="C335" s="19" t="n">
        <f aca="false">IFERROR(C334/B334-1,0)</f>
        <v>0.183747675714848</v>
      </c>
      <c r="D335" s="19" t="n">
        <f aca="false">IFERROR(D334/C334-1,0)</f>
        <v>0.36357492039119</v>
      </c>
      <c r="E335" s="19" t="n">
        <f aca="false">IFERROR(E334/D334-1,0)</f>
        <v>0.480597078424471</v>
      </c>
      <c r="F335" s="19" t="n">
        <f aca="false">IFERROR(F334/E334-1,0)</f>
        <v>0.516363503171138</v>
      </c>
    </row>
    <row r="336" customFormat="false" ht="15" hidden="false" customHeight="false" outlineLevel="0" collapsed="false">
      <c r="A336" s="10" t="s">
        <v>609</v>
      </c>
      <c r="C336" s="47" t="n">
        <f aca="false">C330*(Inputs!$C$140+(Inputs!$C$141-Inputs!$C$140)*0/3)</f>
        <v>11.364402</v>
      </c>
      <c r="D336" s="47" t="n">
        <f aca="false">D330*(Inputs!$C$140+(Inputs!$C$141-Inputs!$C$140)*1/3)</f>
        <v>12.78495225</v>
      </c>
      <c r="E336" s="47" t="n">
        <f aca="false">E330*(Inputs!$C$140+(Inputs!$C$141-Inputs!$C$140)*2/3)</f>
        <v>14.31914652</v>
      </c>
      <c r="F336" s="47" t="n">
        <f aca="false">F330*(Inputs!$C$140+(Inputs!$C$141-Inputs!$C$140)*3/3)</f>
        <v>15.974797836375</v>
      </c>
    </row>
    <row r="337" customFormat="false" ht="15" hidden="false" customHeight="false" outlineLevel="0" collapsed="false">
      <c r="A337" s="10" t="s">
        <v>610</v>
      </c>
      <c r="C337" s="47" t="n">
        <f aca="false">C331*(Inputs!$C$142+(Inputs!$C$143-Inputs!$C$142)*0/3)</f>
        <v>4.081344</v>
      </c>
      <c r="D337" s="47" t="n">
        <f aca="false">D331*(Inputs!$C$142+(Inputs!$C$143-Inputs!$C$142)*1/3)</f>
        <v>5.0102016</v>
      </c>
      <c r="E337" s="47" t="n">
        <f aca="false">E331*(Inputs!$C$142+(Inputs!$C$143-Inputs!$C$142)*2/3)</f>
        <v>6.14734848</v>
      </c>
      <c r="F337" s="47" t="n">
        <f aca="false">F331*(Inputs!$C$142+(Inputs!$C$143-Inputs!$C$142)*3/3)</f>
        <v>7.538946048</v>
      </c>
    </row>
    <row r="338" customFormat="false" ht="15" hidden="false" customHeight="false" outlineLevel="0" collapsed="false">
      <c r="A338" s="10" t="s">
        <v>611</v>
      </c>
      <c r="C338" s="47" t="n">
        <f aca="false">C332*(Inputs!$C$144+(Inputs!$C$145-Inputs!$C$144)*0/3)</f>
        <v>4.4185218</v>
      </c>
      <c r="D338" s="47" t="n">
        <f aca="false">D332*(Inputs!$C$144+(Inputs!$C$145-Inputs!$C$144)*1/3)</f>
        <v>5.37937495333333</v>
      </c>
      <c r="E338" s="47" t="n">
        <f aca="false">E332*(Inputs!$C$144+(Inputs!$C$145-Inputs!$C$144)*2/3)</f>
        <v>6.54297513554667</v>
      </c>
      <c r="F338" s="47" t="n">
        <f aca="false">F332*(Inputs!$C$144+(Inputs!$C$145-Inputs!$C$144)*3/3)</f>
        <v>7.9511796348688</v>
      </c>
    </row>
    <row r="339" customFormat="false" ht="15" hidden="false" customHeight="false" outlineLevel="0" collapsed="false">
      <c r="A339" s="10" t="s">
        <v>612</v>
      </c>
      <c r="C339" s="47" t="n">
        <f aca="false">C333*(Inputs!$C$146+(Inputs!$C$147-Inputs!$C$146)*0/3)</f>
        <v>-1.07937646825881</v>
      </c>
      <c r="D339" s="47" t="n">
        <f aca="false">D333*(Inputs!$C$146+(Inputs!$C$147-Inputs!$C$146)*1/3)</f>
        <v>3.67787537332633</v>
      </c>
      <c r="E339" s="47" t="n">
        <f aca="false">E333*(Inputs!$C$146+(Inputs!$C$147-Inputs!$C$146)*2/3)</f>
        <v>29.1831415492198</v>
      </c>
      <c r="F339" s="47" t="n">
        <f aca="false">F333*(Inputs!$C$146+(Inputs!$C$147-Inputs!$C$146)*3/3)</f>
        <v>98.3431893302474</v>
      </c>
    </row>
    <row r="340" customFormat="false" ht="15" hidden="false" customHeight="false" outlineLevel="0" collapsed="false">
      <c r="A340" s="10" t="s">
        <v>505</v>
      </c>
      <c r="C340" s="47" t="n">
        <f aca="false">C336+C337+C338+C339</f>
        <v>18.7848913317412</v>
      </c>
      <c r="D340" s="47" t="n">
        <f aca="false">D336+D337+D338+D339</f>
        <v>26.8524041766597</v>
      </c>
      <c r="E340" s="47" t="n">
        <f aca="false">E336+E337+E338+E339</f>
        <v>56.1926116847664</v>
      </c>
      <c r="F340" s="47" t="n">
        <f aca="false">F336+F337+F338+F339</f>
        <v>129.808112849491</v>
      </c>
    </row>
    <row r="341" customFormat="false" ht="15" hidden="false" customHeight="false" outlineLevel="0" collapsed="false">
      <c r="A341" s="10" t="s">
        <v>613</v>
      </c>
      <c r="B341" s="47" t="n">
        <f aca="false">(Inputs!$C$120+Inputs!$C$121+Inputs!$C$122)*Inputs!$C$148</f>
        <v>1.188</v>
      </c>
      <c r="C341" s="47" t="n">
        <f aca="false">C334*Inputs!$C$148</f>
        <v>5.1312620747817</v>
      </c>
      <c r="D341" s="47" t="n">
        <f aca="false">D334*Inputs!$C$148</f>
        <v>6.99686027512678</v>
      </c>
      <c r="E341" s="47" t="n">
        <f aca="false">E334*Inputs!$C$148</f>
        <v>10.359530881497</v>
      </c>
      <c r="F341" s="47" t="n">
        <f aca="false">F334*Inputs!$C$148</f>
        <v>15.7088145386763</v>
      </c>
    </row>
    <row r="342" customFormat="false" ht="15" hidden="false" customHeight="false" outlineLevel="0" collapsed="false">
      <c r="A342" s="10" t="s">
        <v>614</v>
      </c>
      <c r="B342" s="26" t="n">
        <v>0</v>
      </c>
      <c r="C342" s="26" t="n">
        <v>0</v>
      </c>
      <c r="D342" s="26" t="n">
        <v>0</v>
      </c>
      <c r="E342" s="26" t="n">
        <v>0</v>
      </c>
      <c r="F342" s="26" t="n">
        <v>0</v>
      </c>
    </row>
    <row r="343" customFormat="false" ht="15" hidden="false" customHeight="false" outlineLevel="0" collapsed="false">
      <c r="A343" s="10" t="s">
        <v>615</v>
      </c>
      <c r="B343" s="47" t="n">
        <f aca="false">Historicals!$C$76+Inputs!$B$53/4</f>
        <v>6.748</v>
      </c>
      <c r="C343" s="47" t="n">
        <f aca="false">Inputs!$B$53*MAX(0,MIN(1,(Inputs!$B$57-1+0.5)/Inputs!$B$57))+$B347*IF(1&lt;=Inputs!$B$49,1,0)/Inputs!$B$49+C346*0.5/Inputs!$B$49</f>
        <v>8.42190815528056</v>
      </c>
      <c r="D343" s="47" t="n">
        <f aca="false">Inputs!$B$53*MAX(0,MIN(1,(Inputs!$B$57-2+0.5)/Inputs!$B$57))+$B347*IF(2&lt;=Inputs!$B$49,1,0)/Inputs!$B$49+C346*IF(1&lt;=Inputs!$B$49-1,1,IF(1=Inputs!$B$49,0.5,0))/Inputs!$B$49+D346*0.5/Inputs!$B$49</f>
        <v>10.3365640848102</v>
      </c>
      <c r="E343" s="47" t="n">
        <f aca="false">Inputs!$B$53*MAX(0,MIN(1,(Inputs!$B$57-3+0.5)/Inputs!$B$57))+$B347*IF(3&lt;=Inputs!$B$49,1,0)/Inputs!$B$49+C346*IF(2&lt;=Inputs!$B$49-1,1,IF(2=Inputs!$B$49,0.5,0))/Inputs!$B$49+D346*IF(1&lt;=Inputs!$B$49-1,1,IF(1=Inputs!$B$49,0.5,0))/Inputs!$B$49+E346*0.5/Inputs!$B$49</f>
        <v>13.1004200160457</v>
      </c>
      <c r="F343" s="47" t="n">
        <f aca="false">Inputs!$B$53*MAX(0,MIN(1,(Inputs!$B$57-4+0.5)/Inputs!$B$57))+$B347*IF(4&lt;=Inputs!$B$49,1,0)/Inputs!$B$49+C346*IF(3&lt;=Inputs!$B$49-1,1,IF(3=Inputs!$B$49,0.5,0))/Inputs!$B$49+D346*IF(2&lt;=Inputs!$B$49-1,1,IF(2=Inputs!$B$49,0.5,0))/Inputs!$B$49+E346*IF(1&lt;=Inputs!$B$49-1,1,IF(1=Inputs!$B$49,0.5,0))/Inputs!$B$49+F346*0.5/Inputs!$B$49</f>
        <v>17.1333475657005</v>
      </c>
    </row>
    <row r="344" customFormat="false" ht="15" hidden="false" customHeight="false" outlineLevel="0" collapsed="false">
      <c r="A344" s="13" t="s">
        <v>513</v>
      </c>
      <c r="B344" s="18" t="n">
        <f aca="false">Historicals!$C$72+(Inputs!$C$120+Inputs!$C$121+Inputs!$C$122)*Inputs!$C$123</f>
        <v>2.948</v>
      </c>
      <c r="C344" s="18" t="n">
        <f aca="false">C340-C341-C343</f>
        <v>5.23172110167894</v>
      </c>
      <c r="D344" s="18" t="n">
        <f aca="false">D340-D341-D343</f>
        <v>9.51897981672265</v>
      </c>
      <c r="E344" s="18" t="n">
        <f aca="false">E340-E341-E343</f>
        <v>32.7326607872238</v>
      </c>
      <c r="F344" s="18" t="n">
        <f aca="false">F340-F341-F343</f>
        <v>96.9659507451145</v>
      </c>
    </row>
    <row r="345" customFormat="false" ht="15" hidden="false" customHeight="false" outlineLevel="0" collapsed="false">
      <c r="A345" s="10" t="s">
        <v>514</v>
      </c>
      <c r="B345" s="19" t="n">
        <f aca="false">IFERROR(B344/B334,0)</f>
        <v>0.0272033515119638</v>
      </c>
      <c r="C345" s="19" t="n">
        <f aca="false">IFERROR(C344/C334,0)</f>
        <v>0.0407831135921976</v>
      </c>
      <c r="D345" s="19" t="n">
        <f aca="false">IFERROR(D344/D334,0)</f>
        <v>0.0544185788620749</v>
      </c>
      <c r="E345" s="19" t="n">
        <f aca="false">IFERROR(E344/E334,0)</f>
        <v>0.126386652684002</v>
      </c>
      <c r="F345" s="19" t="n">
        <f aca="false">IFERROR(F344/F334,0)</f>
        <v>0.246908385114298</v>
      </c>
    </row>
    <row r="346" customFormat="false" ht="15" hidden="false" customHeight="false" outlineLevel="0" collapsed="false">
      <c r="A346" s="10" t="s">
        <v>616</v>
      </c>
      <c r="B346" s="47" t="n">
        <f aca="false">Inputs!$B$58</f>
        <v>20</v>
      </c>
      <c r="C346" s="47" t="n">
        <f aca="false">C334*(Inputs!$C$149+(Inputs!$C$150-Inputs!$C$149)*0/3)</f>
        <v>21.8078638178222</v>
      </c>
      <c r="D346" s="47" t="n">
        <f aca="false">D334*(Inputs!$C$149+(Inputs!$C$150-Inputs!$C$149)*1/3)</f>
        <v>26.8212977213193</v>
      </c>
      <c r="E346" s="47" t="n">
        <f aca="false">E334*(Inputs!$C$149+(Inputs!$C$150-Inputs!$C$149)*2/3)</f>
        <v>35.3950638451146</v>
      </c>
      <c r="F346" s="47" t="n">
        <f aca="false">F334*(Inputs!$C$149+(Inputs!$C$150-Inputs!$C$149)*3/3)</f>
        <v>47.1264436160289</v>
      </c>
    </row>
    <row r="347" customFormat="false" ht="15" hidden="false" customHeight="false" outlineLevel="0" collapsed="false">
      <c r="A347" s="10" t="s">
        <v>617</v>
      </c>
      <c r="B347" s="47" t="n">
        <f aca="false">Inputs!$B$58-Historicals!$C$78</f>
        <v>6.986</v>
      </c>
    </row>
    <row r="348" customFormat="false" ht="15" hidden="false" customHeight="false" outlineLevel="0" collapsed="false">
      <c r="A348" s="10" t="s">
        <v>618</v>
      </c>
      <c r="C348" s="48" t="n">
        <f aca="false">IFERROR(C346/C343,0)</f>
        <v>2.58942076020487</v>
      </c>
      <c r="D348" s="48" t="n">
        <f aca="false">IFERROR(D346/D343,0)</f>
        <v>2.5947981845083</v>
      </c>
      <c r="E348" s="48" t="n">
        <f aca="false">IFERROR(E346/E343,0)</f>
        <v>2.70182664386042</v>
      </c>
      <c r="F348" s="48" t="n">
        <f aca="false">IFERROR(F346/F343,0)</f>
        <v>2.75056835421772</v>
      </c>
    </row>
    <row r="349" customFormat="false" ht="15" hidden="false" customHeight="false" outlineLevel="0" collapsed="false">
      <c r="A349" s="10" t="s">
        <v>523</v>
      </c>
      <c r="B349" s="47" t="n">
        <f aca="false">B344-Inputs!$B$38*B346+Inputs!$B$38*B343</f>
        <v>-5.0032</v>
      </c>
      <c r="C349" s="47" t="n">
        <f aca="false">C344-Inputs!$B$38*C346+Inputs!$B$38*C343</f>
        <v>-2.79985229584605</v>
      </c>
      <c r="D349" s="47" t="n">
        <f aca="false">D344-Inputs!$B$38*D346+Inputs!$B$38*D343</f>
        <v>-0.371860365182811</v>
      </c>
      <c r="E349" s="47" t="n">
        <f aca="false">E344-Inputs!$B$38*E346+Inputs!$B$38*E343</f>
        <v>19.3558744897825</v>
      </c>
      <c r="F349" s="47" t="n">
        <f aca="false">F344-Inputs!$B$38*F346+Inputs!$B$38*F343</f>
        <v>78.9700931149174</v>
      </c>
    </row>
    <row r="350" customFormat="false" ht="15" hidden="false" customHeight="false" outlineLevel="0" collapsed="false">
      <c r="A350" s="10" t="s">
        <v>524</v>
      </c>
      <c r="B350" s="47" t="n">
        <f aca="false">MIN(0,MAX(0,B349),1E+099)</f>
        <v>0</v>
      </c>
      <c r="C350" s="47" t="n">
        <f aca="false">MIN(B352,MAX(0,C349),1E+099)</f>
        <v>0</v>
      </c>
      <c r="D350" s="47" t="n">
        <f aca="false">MIN(C352,MAX(0,D349),1E+099)</f>
        <v>0</v>
      </c>
      <c r="E350" s="47" t="n">
        <f aca="false">MIN(D352,MAX(0,E349),1E+099)</f>
        <v>5.0032</v>
      </c>
      <c r="F350" s="47" t="n">
        <f aca="false">MIN(E352,MAX(0,F349),1E+099)</f>
        <v>0</v>
      </c>
    </row>
    <row r="351" customFormat="false" ht="15" hidden="false" customHeight="false" outlineLevel="0" collapsed="false">
      <c r="A351" s="10" t="s">
        <v>525</v>
      </c>
      <c r="B351" s="47" t="n">
        <f aca="false">MIN(0,MAX(0,B349)-B350)</f>
        <v>0</v>
      </c>
      <c r="C351" s="47" t="n">
        <f aca="false">MIN(B353,MAX(0,C349)-C350)</f>
        <v>0</v>
      </c>
      <c r="D351" s="47" t="n">
        <f aca="false">MIN(C353,MAX(0,D349)-D350)</f>
        <v>0</v>
      </c>
      <c r="E351" s="47" t="n">
        <f aca="false">MIN(D353,MAX(0,E349)-E350)</f>
        <v>3.17171266102887</v>
      </c>
      <c r="F351" s="47" t="n">
        <f aca="false">MIN(E353,MAX(0,F349)-F350)</f>
        <v>0</v>
      </c>
    </row>
    <row r="352" customFormat="false" ht="15" hidden="false" customHeight="false" outlineLevel="0" collapsed="false">
      <c r="A352" s="10" t="s">
        <v>526</v>
      </c>
      <c r="B352" s="47" t="n">
        <f aca="false">0-B350+MAX(0,-B349)</f>
        <v>5.0032</v>
      </c>
      <c r="C352" s="47" t="n">
        <f aca="false">B352-C350</f>
        <v>5.0032</v>
      </c>
      <c r="D352" s="47" t="n">
        <f aca="false">C352-D350</f>
        <v>5.0032</v>
      </c>
      <c r="E352" s="47" t="n">
        <f aca="false">D352-E350</f>
        <v>0</v>
      </c>
      <c r="F352" s="47" t="n">
        <f aca="false">E352-F350</f>
        <v>0</v>
      </c>
    </row>
    <row r="353" customFormat="false" ht="15" hidden="false" customHeight="false" outlineLevel="0" collapsed="false">
      <c r="A353" s="10" t="s">
        <v>527</v>
      </c>
      <c r="B353" s="26" t="n">
        <v>0</v>
      </c>
      <c r="C353" s="47" t="n">
        <f aca="false">B353-C351+MAX(0,-C349)</f>
        <v>2.79985229584605</v>
      </c>
      <c r="D353" s="47" t="n">
        <f aca="false">C353-D351+MAX(0,-D349)</f>
        <v>3.17171266102887</v>
      </c>
      <c r="E353" s="47" t="n">
        <f aca="false">D353-E351+MAX(0,-E349)</f>
        <v>0</v>
      </c>
      <c r="F353" s="47" t="n">
        <f aca="false">E353-F351+MAX(0,-F349)</f>
        <v>0</v>
      </c>
    </row>
    <row r="354" customFormat="false" ht="15" hidden="false" customHeight="false" outlineLevel="0" collapsed="false">
      <c r="A354" s="10" t="s">
        <v>528</v>
      </c>
      <c r="B354" s="47" t="n">
        <f aca="false">MAX(0,B349-B350-B351)*Inputs!$B$34</f>
        <v>0</v>
      </c>
      <c r="C354" s="47" t="n">
        <f aca="false">MAX(0,C349-C350-C351)*Inputs!$B$34</f>
        <v>0</v>
      </c>
      <c r="D354" s="47" t="n">
        <f aca="false">MAX(0,D349-D350-D351)*Inputs!$B$34</f>
        <v>0</v>
      </c>
      <c r="E354" s="47" t="n">
        <f aca="false">MAX(0,E349-E350-E351)*Inputs!$B$34</f>
        <v>0.447238473150144</v>
      </c>
      <c r="F354" s="47" t="n">
        <f aca="false">MAX(0,F349-F350-F351)*Inputs!$B$34</f>
        <v>3.1588037245967</v>
      </c>
    </row>
    <row r="355" customFormat="false" ht="15" hidden="false" customHeight="false" outlineLevel="0" collapsed="false">
      <c r="A355" s="10" t="s">
        <v>529</v>
      </c>
      <c r="B355" s="47" t="n">
        <f aca="false">B349-B354</f>
        <v>-5.0032</v>
      </c>
      <c r="C355" s="47" t="n">
        <f aca="false">C349-C354</f>
        <v>-2.79985229584605</v>
      </c>
      <c r="D355" s="47" t="n">
        <f aca="false">D349-D354</f>
        <v>-0.371860365182811</v>
      </c>
      <c r="E355" s="47" t="n">
        <f aca="false">E349-E354</f>
        <v>18.9086360166323</v>
      </c>
      <c r="F355" s="47" t="n">
        <f aca="false">F349-F354</f>
        <v>75.8112893903207</v>
      </c>
    </row>
    <row r="356" customFormat="false" ht="15" hidden="false" customHeight="false" outlineLevel="0" collapsed="false">
      <c r="A356" s="10" t="s">
        <v>530</v>
      </c>
      <c r="B356" s="47" t="n">
        <f aca="false">MIN(Inputs!$B$39,Inputs!$B$35*MAX(0,B355),1E+099)</f>
        <v>0</v>
      </c>
      <c r="C356" s="47" t="n">
        <f aca="false">MIN(B358,Inputs!$B$35*MAX(0,C355),1E+099)</f>
        <v>0</v>
      </c>
      <c r="D356" s="47" t="n">
        <f aca="false">MIN(C358,Inputs!$B$35*MAX(0,D355),1E+099)</f>
        <v>0</v>
      </c>
      <c r="E356" s="47" t="n">
        <f aca="false">MIN(D358,Inputs!$B$35*MAX(0,E355),1E+099)</f>
        <v>5.0032</v>
      </c>
      <c r="F356" s="47" t="n">
        <f aca="false">MIN(E358,Inputs!$B$35*MAX(0,F355),1E+099)</f>
        <v>0</v>
      </c>
    </row>
    <row r="357" customFormat="false" ht="15" hidden="false" customHeight="false" outlineLevel="0" collapsed="false">
      <c r="A357" s="10" t="s">
        <v>531</v>
      </c>
      <c r="B357" s="47" t="n">
        <f aca="false">MIN(0,Inputs!$B$35*MAX(0,B355)-B356)</f>
        <v>0</v>
      </c>
      <c r="C357" s="47" t="n">
        <f aca="false">MIN(B359,Inputs!$B$35*MAX(0,C355)-C356)</f>
        <v>0</v>
      </c>
      <c r="D357" s="47" t="n">
        <f aca="false">MIN(C359,Inputs!$B$35*MAX(0,D355)-D356)</f>
        <v>0</v>
      </c>
      <c r="E357" s="47" t="n">
        <f aca="false">MIN(D359,Inputs!$B$35*MAX(0,E355)-E356)</f>
        <v>3.17171266102887</v>
      </c>
      <c r="F357" s="47" t="n">
        <f aca="false">MIN(E359,Inputs!$B$35*MAX(0,F355)-F356)</f>
        <v>0</v>
      </c>
    </row>
    <row r="358" customFormat="false" ht="15" hidden="false" customHeight="false" outlineLevel="0" collapsed="false">
      <c r="A358" s="10" t="s">
        <v>532</v>
      </c>
      <c r="B358" s="47" t="n">
        <f aca="false">Inputs!$B$39-B356+MAX(0,-B355)</f>
        <v>5.0032</v>
      </c>
      <c r="C358" s="47" t="n">
        <f aca="false">B358-C356</f>
        <v>5.0032</v>
      </c>
      <c r="D358" s="47" t="n">
        <f aca="false">C358-D356</f>
        <v>5.0032</v>
      </c>
      <c r="E358" s="47" t="n">
        <f aca="false">D358-E356</f>
        <v>0</v>
      </c>
      <c r="F358" s="47" t="n">
        <f aca="false">E358-F356</f>
        <v>0</v>
      </c>
    </row>
    <row r="359" customFormat="false" ht="15" hidden="false" customHeight="false" outlineLevel="0" collapsed="false">
      <c r="A359" s="10" t="s">
        <v>533</v>
      </c>
      <c r="B359" s="26" t="n">
        <v>0</v>
      </c>
      <c r="C359" s="47" t="n">
        <f aca="false">B359-C357+MAX(0,-C355)</f>
        <v>2.79985229584605</v>
      </c>
      <c r="D359" s="47" t="n">
        <f aca="false">C359-D357+MAX(0,-D355)</f>
        <v>3.17171266102887</v>
      </c>
      <c r="E359" s="47" t="n">
        <f aca="false">D359-E357+MAX(0,-E355)</f>
        <v>0</v>
      </c>
      <c r="F359" s="47" t="n">
        <f aca="false">E359-F357+MAX(0,-F355)</f>
        <v>0</v>
      </c>
    </row>
    <row r="360" customFormat="false" ht="15" hidden="false" customHeight="false" outlineLevel="0" collapsed="false">
      <c r="A360" s="10" t="s">
        <v>534</v>
      </c>
      <c r="B360" s="47" t="n">
        <f aca="false">MAX(0,B355-B356-B357)*Inputs!$B$33</f>
        <v>0</v>
      </c>
      <c r="C360" s="47" t="n">
        <f aca="false">MAX(0,C355-C356-C357)*Inputs!$B$33</f>
        <v>0</v>
      </c>
      <c r="D360" s="47" t="n">
        <f aca="false">MAX(0,D355-D356-D357)*Inputs!$B$33</f>
        <v>0</v>
      </c>
      <c r="E360" s="47" t="n">
        <f aca="false">MAX(0,E355-E356-E357)*Inputs!$B$33</f>
        <v>2.25408190467673</v>
      </c>
      <c r="F360" s="47" t="n">
        <f aca="false">MAX(0,F355-F356-F357)*Inputs!$B$33</f>
        <v>15.9203707719674</v>
      </c>
    </row>
    <row r="361" customFormat="false" ht="15" hidden="false" customHeight="false" outlineLevel="0" collapsed="false">
      <c r="A361" s="10" t="s">
        <v>535</v>
      </c>
      <c r="B361" s="47" t="n">
        <f aca="false">MIN(0,B360,MAX(0,1E+099-B356)*Inputs!$B$33)</f>
        <v>0</v>
      </c>
      <c r="C361" s="47" t="n">
        <f aca="false">MIN(B362,C360,MAX(0,1E+099-C356)*Inputs!$B$33)</f>
        <v>0</v>
      </c>
      <c r="D361" s="47" t="n">
        <f aca="false">MIN(C362,D360,MAX(0,1E+099-D356)*Inputs!$B$33)</f>
        <v>0</v>
      </c>
      <c r="E361" s="47" t="n">
        <f aca="false">MIN(D362,E360,MAX(0,1E+099-E356)*Inputs!$B$33)</f>
        <v>0</v>
      </c>
      <c r="F361" s="47" t="n">
        <f aca="false">MIN(E362,F360,MAX(0,1E+099-F356)*Inputs!$B$33)</f>
        <v>0</v>
      </c>
    </row>
    <row r="362" customFormat="false" ht="15" hidden="false" customHeight="false" outlineLevel="0" collapsed="false">
      <c r="A362" s="10" t="s">
        <v>536</v>
      </c>
      <c r="B362" s="47" t="n">
        <f aca="false">0-B361</f>
        <v>0</v>
      </c>
      <c r="C362" s="47" t="n">
        <f aca="false">B362-C361</f>
        <v>0</v>
      </c>
      <c r="D362" s="47" t="n">
        <f aca="false">C362-D361</f>
        <v>0</v>
      </c>
      <c r="E362" s="47" t="n">
        <f aca="false">D362-E361</f>
        <v>0</v>
      </c>
      <c r="F362" s="47" t="n">
        <f aca="false">E362-F361</f>
        <v>0</v>
      </c>
    </row>
    <row r="363" customFormat="false" ht="15" hidden="false" customHeight="false" outlineLevel="0" collapsed="false">
      <c r="A363" s="13" t="s">
        <v>537</v>
      </c>
      <c r="B363" s="18" t="n">
        <f aca="false">MAX(0,(Inputs!$C$120+Inputs!$C$121+Inputs!$C$122)*Inputs!$C$123)*Inputs!$B$41</f>
        <v>0.13365</v>
      </c>
      <c r="C363" s="18" t="n">
        <f aca="false">C360-C361+C354</f>
        <v>0</v>
      </c>
      <c r="D363" s="18" t="n">
        <f aca="false">D360-D361+D354</f>
        <v>0</v>
      </c>
      <c r="E363" s="18" t="n">
        <f aca="false">E360-E361+E354</f>
        <v>2.70132037782687</v>
      </c>
      <c r="F363" s="18" t="n">
        <f aca="false">F360-F361+F354</f>
        <v>19.079174496564</v>
      </c>
    </row>
    <row r="364" customFormat="false" ht="15" hidden="false" customHeight="false" outlineLevel="0" collapsed="false">
      <c r="A364" s="10" t="s">
        <v>538</v>
      </c>
      <c r="B364" s="47" t="n">
        <f aca="false">0+Inputs!$B$38*(B346-B343)</f>
        <v>7.9512</v>
      </c>
      <c r="C364" s="47" t="n">
        <f aca="false">B364+Inputs!$B$38*(C346-C343)</f>
        <v>15.982773397525</v>
      </c>
      <c r="D364" s="47" t="n">
        <f aca="false">C364+Inputs!$B$38*(D346-D343)</f>
        <v>25.8736135794304</v>
      </c>
      <c r="E364" s="47" t="n">
        <f aca="false">D364+Inputs!$B$38*(E346-E343)</f>
        <v>39.2503998768718</v>
      </c>
      <c r="F364" s="47" t="n">
        <f aca="false">E364+Inputs!$B$38*(F346-F343)</f>
        <v>57.2462575070688</v>
      </c>
    </row>
    <row r="365" customFormat="false" ht="15" hidden="false" customHeight="false" outlineLevel="0" collapsed="false">
      <c r="A365" s="10" t="s">
        <v>539</v>
      </c>
      <c r="B365" s="47" t="n">
        <f aca="false">B364*Inputs!$B$79</f>
        <v>1.92100992</v>
      </c>
      <c r="C365" s="47" t="n">
        <f aca="false">C364*Inputs!$B$79</f>
        <v>3.86143805284204</v>
      </c>
      <c r="D365" s="47" t="n">
        <f aca="false">D364*Inputs!$B$79</f>
        <v>6.2510650407904</v>
      </c>
      <c r="E365" s="47" t="n">
        <f aca="false">E364*Inputs!$B$79</f>
        <v>9.48289661025222</v>
      </c>
      <c r="F365" s="47" t="n">
        <f aca="false">F364*Inputs!$B$79</f>
        <v>13.8306958137078</v>
      </c>
    </row>
    <row r="366" customFormat="false" ht="15" hidden="false" customHeight="false" outlineLevel="0" collapsed="false">
      <c r="A366" s="10" t="s">
        <v>540</v>
      </c>
      <c r="C366" s="47" t="n">
        <f aca="false">C344-C363</f>
        <v>5.23172110167894</v>
      </c>
      <c r="D366" s="47" t="n">
        <f aca="false">D344-D363</f>
        <v>9.51897981672265</v>
      </c>
      <c r="E366" s="47" t="n">
        <f aca="false">E344-E363</f>
        <v>30.0313404093969</v>
      </c>
      <c r="F366" s="47" t="n">
        <f aca="false">F344-F363</f>
        <v>77.8867762485504</v>
      </c>
    </row>
    <row r="367" customFormat="false" ht="15" hidden="false" customHeight="false" outlineLevel="0" collapsed="false">
      <c r="A367" s="10" t="s">
        <v>541</v>
      </c>
      <c r="C367" s="47" t="n">
        <f aca="false">Inputs!$B$65*(C334-B334)</f>
        <v>0</v>
      </c>
      <c r="D367" s="47" t="n">
        <f aca="false">Inputs!$B$65*(D334-C334)</f>
        <v>0</v>
      </c>
      <c r="E367" s="47" t="n">
        <f aca="false">Inputs!$B$65*(E334-D334)</f>
        <v>0</v>
      </c>
      <c r="F367" s="47" t="n">
        <f aca="false">Inputs!$B$65*(F334-E334)</f>
        <v>0</v>
      </c>
    </row>
    <row r="368" customFormat="false" ht="15" hidden="false" customHeight="false" outlineLevel="0" collapsed="false">
      <c r="A368" s="13" t="s">
        <v>542</v>
      </c>
      <c r="B368" s="18" t="n">
        <f aca="false">B369-B341</f>
        <v>-4.54165</v>
      </c>
      <c r="C368" s="18" t="n">
        <f aca="false">C344+C343-C363-C346-C367</f>
        <v>-8.15423456086272</v>
      </c>
      <c r="D368" s="18" t="n">
        <f aca="false">D344+D343-D363-D346-D367</f>
        <v>-6.96575381978645</v>
      </c>
      <c r="E368" s="18" t="n">
        <f aca="false">E344+E343-E363-E346-E367</f>
        <v>7.73669658032804</v>
      </c>
      <c r="F368" s="18" t="n">
        <f aca="false">F344+F343-F363-F346-F367</f>
        <v>47.893680198222</v>
      </c>
    </row>
    <row r="369" customFormat="false" ht="15" hidden="false" customHeight="false" outlineLevel="0" collapsed="false">
      <c r="A369" s="10" t="s">
        <v>543</v>
      </c>
      <c r="B369" s="47" t="n">
        <f aca="false">(Inputs!$C$120+Inputs!$C$121+Inputs!$C$122)*Inputs!$C$123+Inputs!$B$53/4+B341-B363-B347</f>
        <v>-3.35365</v>
      </c>
      <c r="C369" s="47" t="n">
        <f aca="false">C368+C341+C342</f>
        <v>-3.02297248608102</v>
      </c>
      <c r="D369" s="47" t="n">
        <f aca="false">D368+D341+D342</f>
        <v>0.0311064553403311</v>
      </c>
      <c r="E369" s="47" t="n">
        <f aca="false">E368+E341+E342</f>
        <v>18.096227461825</v>
      </c>
      <c r="F369" s="47" t="n">
        <f aca="false">F368+F341+F342</f>
        <v>63.6024947368983</v>
      </c>
    </row>
    <row r="370" customFormat="false" ht="15" hidden="false" customHeight="false" outlineLevel="0" collapsed="false">
      <c r="A370" s="10" t="s">
        <v>544</v>
      </c>
      <c r="B370" s="47" t="n">
        <f aca="false">Historicals!$B$87</f>
        <v>45.447</v>
      </c>
      <c r="C370" s="47" t="n">
        <f aca="false">B381</f>
        <v>42.3896884422111</v>
      </c>
      <c r="D370" s="47" t="n">
        <f aca="false">C381</f>
        <v>40.4521731887492</v>
      </c>
      <c r="E370" s="47" t="n">
        <f aca="false">D381</f>
        <v>41.5519827631271</v>
      </c>
      <c r="F370" s="47" t="n">
        <f aca="false">E381</f>
        <v>61.1304794696068</v>
      </c>
    </row>
    <row r="371" customFormat="false" ht="15" hidden="false" customHeight="false" outlineLevel="0" collapsed="false">
      <c r="A371" s="10" t="s">
        <v>545</v>
      </c>
      <c r="B371" s="47" t="n">
        <f aca="false">Historicals!$B$88</f>
        <v>9.523</v>
      </c>
      <c r="C371" s="47" t="n">
        <f aca="false">B382</f>
        <v>9.523</v>
      </c>
      <c r="D371" s="47" t="n">
        <f aca="false">C382</f>
        <v>9.523</v>
      </c>
      <c r="E371" s="47" t="n">
        <f aca="false">D382</f>
        <v>9.523</v>
      </c>
      <c r="F371" s="47" t="n">
        <f aca="false">E382</f>
        <v>9.523</v>
      </c>
    </row>
    <row r="372" customFormat="false" ht="15" hidden="false" customHeight="false" outlineLevel="0" collapsed="false">
      <c r="A372" s="10" t="s">
        <v>546</v>
      </c>
      <c r="B372" s="26" t="n">
        <v>0</v>
      </c>
      <c r="C372" s="47" t="n">
        <f aca="false">Inputs!$B$63</f>
        <v>0</v>
      </c>
      <c r="D372" s="26" t="n">
        <v>0</v>
      </c>
      <c r="E372" s="26" t="n">
        <v>0</v>
      </c>
      <c r="F372" s="26" t="n">
        <v>0</v>
      </c>
    </row>
    <row r="373" customFormat="false" ht="15" hidden="false" customHeight="false" outlineLevel="0" collapsed="false">
      <c r="A373" s="10" t="s">
        <v>547</v>
      </c>
      <c r="B373" s="47" t="n">
        <f aca="false">(B370+B369-B372+Inputs!$B$60/4*B370/2-Inputs!$B$61/4*(B371-B372/2))/(1-Inputs!$B$60/4/2)</f>
        <v>42.3896884422111</v>
      </c>
      <c r="C373" s="47" t="n">
        <f aca="false">(C370+C369-C372+Inputs!$B$60*C370/2-Inputs!$B$61*(C371-C372/2))/(1-Inputs!$B$60/2)</f>
        <v>40.4521731887492</v>
      </c>
      <c r="D373" s="47" t="n">
        <f aca="false">(D370+D369-D372+Inputs!$B$60*D370/2-Inputs!$B$61*(D371-D372/2))/(1-Inputs!$B$60/2)</f>
        <v>41.5519827631271</v>
      </c>
      <c r="E373" s="47" t="n">
        <f aca="false">(E370+E369-E372+Inputs!$B$60*E370/2-Inputs!$B$61*(E371-E372/2))/(1-Inputs!$B$60/2)</f>
        <v>61.1304794696068</v>
      </c>
      <c r="F373" s="47" t="n">
        <f aca="false">(F370+F369-F372+Inputs!$B$60*F370/2-Inputs!$B$61*(F371-F372/2))/(1-Inputs!$B$60/2)</f>
        <v>127.943065097854</v>
      </c>
    </row>
    <row r="374" customFormat="false" ht="15" hidden="false" customHeight="false" outlineLevel="0" collapsed="false">
      <c r="A374" s="10" t="s">
        <v>548</v>
      </c>
      <c r="B374" s="47" t="n">
        <f aca="false">IF(B373&gt;=Inputs!$B$67,0,(Inputs!$B$67-B370-B369+B372-Inputs!$B$60/4*(B370+Inputs!$B$67)/2+Inputs!$B$61/4*(B371-B372/2))/(1-Inputs!$B$61/4*Inputs!$B$69/(2*(1-Inputs!$B$70))))</f>
        <v>0</v>
      </c>
      <c r="C374" s="47" t="n">
        <f aca="false">IF(C373&gt;=Inputs!$B$67,0,(Inputs!$B$67-C370-C369+C372-Inputs!$B$60*(C370+Inputs!$B$67)/2+Inputs!$B$61*(C371-C372/2))/(1-Inputs!$B$61*Inputs!$B$69/(2*(1-Inputs!$B$70))))</f>
        <v>0</v>
      </c>
      <c r="D374" s="47" t="n">
        <f aca="false">IF(D373&gt;=Inputs!$B$67,0,(Inputs!$B$67-D370-D369+D372-Inputs!$B$60*(D370+Inputs!$B$67)/2+Inputs!$B$61*(D371-D372/2))/(1-Inputs!$B$61*Inputs!$B$69/(2*(1-Inputs!$B$70))))</f>
        <v>0</v>
      </c>
      <c r="E374" s="47" t="n">
        <f aca="false">IF(E373&gt;=Inputs!$B$67,0,(Inputs!$B$67-E370-E369+E372-Inputs!$B$60*(E370+Inputs!$B$67)/2+Inputs!$B$61*(E371-E372/2))/(1-Inputs!$B$61*Inputs!$B$69/(2*(1-Inputs!$B$70))))</f>
        <v>0</v>
      </c>
      <c r="F374" s="47" t="n">
        <f aca="false">IF(F373&gt;=Inputs!$B$67,0,(Inputs!$B$67-F370-F369+F372-Inputs!$B$60*(F370+Inputs!$B$67)/2+Inputs!$B$61*(F371-F372/2))/(1-Inputs!$B$61*Inputs!$B$69/(2*(1-Inputs!$B$70))))</f>
        <v>0</v>
      </c>
    </row>
    <row r="375" customFormat="false" ht="15" hidden="false" customHeight="false" outlineLevel="0" collapsed="false">
      <c r="A375" s="10" t="s">
        <v>549</v>
      </c>
      <c r="B375" s="47" t="n">
        <f aca="false">B374/(1-Inputs!$B$70)</f>
        <v>0</v>
      </c>
      <c r="C375" s="47" t="n">
        <f aca="false">C374/(1-Inputs!$B$70)</f>
        <v>0</v>
      </c>
      <c r="D375" s="47" t="n">
        <f aca="false">D374/(1-Inputs!$B$70)</f>
        <v>0</v>
      </c>
      <c r="E375" s="47" t="n">
        <f aca="false">E374/(1-Inputs!$B$70)</f>
        <v>0</v>
      </c>
      <c r="F375" s="47" t="n">
        <f aca="false">F374/(1-Inputs!$B$70)</f>
        <v>0</v>
      </c>
    </row>
    <row r="376" customFormat="false" ht="15" hidden="false" customHeight="false" outlineLevel="0" collapsed="false">
      <c r="A376" s="10" t="s">
        <v>550</v>
      </c>
      <c r="B376" s="47" t="n">
        <f aca="false">B375*Inputs!$B$69</f>
        <v>0</v>
      </c>
      <c r="C376" s="47" t="n">
        <f aca="false">C375*Inputs!$B$69</f>
        <v>0</v>
      </c>
      <c r="D376" s="47" t="n">
        <f aca="false">D375*Inputs!$B$69</f>
        <v>0</v>
      </c>
      <c r="E376" s="47" t="n">
        <f aca="false">E375*Inputs!$B$69</f>
        <v>0</v>
      </c>
      <c r="F376" s="47" t="n">
        <f aca="false">F375*Inputs!$B$69</f>
        <v>0</v>
      </c>
    </row>
    <row r="377" customFormat="false" ht="15" hidden="false" customHeight="false" outlineLevel="0" collapsed="false">
      <c r="A377" s="10" t="s">
        <v>551</v>
      </c>
      <c r="B377" s="47" t="n">
        <f aca="false">B375-B376</f>
        <v>0</v>
      </c>
      <c r="C377" s="47" t="n">
        <f aca="false">C375-C376</f>
        <v>0</v>
      </c>
      <c r="D377" s="47" t="n">
        <f aca="false">D375-D376</f>
        <v>0</v>
      </c>
      <c r="E377" s="47" t="n">
        <f aca="false">E375-E376</f>
        <v>0</v>
      </c>
      <c r="F377" s="47" t="n">
        <f aca="false">F375-F376</f>
        <v>0</v>
      </c>
    </row>
    <row r="378" customFormat="false" ht="15" hidden="false" customHeight="false" outlineLevel="0" collapsed="false">
      <c r="A378" s="10" t="s">
        <v>552</v>
      </c>
      <c r="B378" s="47" t="n">
        <f aca="false">B375-B374</f>
        <v>0</v>
      </c>
      <c r="C378" s="47" t="n">
        <f aca="false">C375-C374</f>
        <v>0</v>
      </c>
      <c r="D378" s="47" t="n">
        <f aca="false">D375-D374</f>
        <v>0</v>
      </c>
      <c r="E378" s="47" t="n">
        <f aca="false">E375-E374</f>
        <v>0</v>
      </c>
      <c r="F378" s="47" t="n">
        <f aca="false">F375-F374</f>
        <v>0</v>
      </c>
    </row>
    <row r="379" customFormat="false" ht="15" hidden="false" customHeight="false" outlineLevel="0" collapsed="false">
      <c r="A379" s="10" t="s">
        <v>553</v>
      </c>
      <c r="B379" s="47" t="n">
        <f aca="false">Inputs!$B$60/4*(B370+B381)/2</f>
        <v>0.439183442211055</v>
      </c>
      <c r="C379" s="47" t="n">
        <f aca="false">Inputs!$B$60*(C370+C381)/2</f>
        <v>1.65683723261921</v>
      </c>
      <c r="D379" s="47" t="n">
        <f aca="false">Inputs!$B$60*(D370+D381)/2</f>
        <v>1.64008311903753</v>
      </c>
      <c r="E379" s="47" t="n">
        <f aca="false">Inputs!$B$60*(E370+E381)/2</f>
        <v>2.05364924465468</v>
      </c>
      <c r="F379" s="47" t="n">
        <f aca="false">Inputs!$B$60*(F370+F381)/2</f>
        <v>3.78147089134922</v>
      </c>
    </row>
    <row r="380" customFormat="false" ht="15" hidden="false" customHeight="false" outlineLevel="0" collapsed="false">
      <c r="A380" s="10" t="s">
        <v>554</v>
      </c>
      <c r="B380" s="47" t="n">
        <f aca="false">Inputs!$B$61/4*(B371-B372/2+B376/2)</f>
        <v>0.142845</v>
      </c>
      <c r="C380" s="47" t="n">
        <f aca="false">Inputs!$B$61*(C371-C372/2+C376/2)</f>
        <v>0.57138</v>
      </c>
      <c r="D380" s="47" t="n">
        <f aca="false">Inputs!$B$61*(D371-D372/2+D376/2)</f>
        <v>0.57138</v>
      </c>
      <c r="E380" s="47" t="n">
        <f aca="false">Inputs!$B$61*(E371-E372/2+E376/2)</f>
        <v>0.57138</v>
      </c>
      <c r="F380" s="47" t="n">
        <f aca="false">Inputs!$B$61*(F371-F372/2+F376/2)</f>
        <v>0.57138</v>
      </c>
    </row>
    <row r="381" customFormat="false" ht="15" hidden="false" customHeight="false" outlineLevel="0" collapsed="false">
      <c r="A381" s="13" t="s">
        <v>555</v>
      </c>
      <c r="B381" s="18" t="n">
        <f aca="false">IF(B374&gt;0,Inputs!$B$67,B373)</f>
        <v>42.3896884422111</v>
      </c>
      <c r="C381" s="18" t="n">
        <f aca="false">IF(C374&gt;0,Inputs!$B$67,C373)</f>
        <v>40.4521731887492</v>
      </c>
      <c r="D381" s="18" t="n">
        <f aca="false">IF(D374&gt;0,Inputs!$B$67,D373)</f>
        <v>41.5519827631271</v>
      </c>
      <c r="E381" s="18" t="n">
        <f aca="false">IF(E374&gt;0,Inputs!$B$67,E373)</f>
        <v>61.1304794696068</v>
      </c>
      <c r="F381" s="18" t="n">
        <f aca="false">IF(F374&gt;0,Inputs!$B$67,F373)</f>
        <v>127.943065097854</v>
      </c>
    </row>
    <row r="382" customFormat="false" ht="15" hidden="false" customHeight="false" outlineLevel="0" collapsed="false">
      <c r="A382" s="10" t="s">
        <v>556</v>
      </c>
      <c r="B382" s="47" t="n">
        <f aca="false">B371-B372+B376</f>
        <v>9.523</v>
      </c>
      <c r="C382" s="47" t="n">
        <f aca="false">C371-C372+C376</f>
        <v>9.523</v>
      </c>
      <c r="D382" s="47" t="n">
        <f aca="false">D371-D372+D376</f>
        <v>9.523</v>
      </c>
      <c r="E382" s="47" t="n">
        <f aca="false">E371-E372+E376</f>
        <v>9.523</v>
      </c>
      <c r="F382" s="47" t="n">
        <f aca="false">F371-F372+F376</f>
        <v>9.523</v>
      </c>
    </row>
    <row r="383" customFormat="false" ht="15" hidden="false" customHeight="false" outlineLevel="0" collapsed="false">
      <c r="A383" s="13" t="s">
        <v>557</v>
      </c>
      <c r="B383" s="18" t="n">
        <f aca="false">B381-B382</f>
        <v>32.8666884422111</v>
      </c>
      <c r="C383" s="18" t="n">
        <f aca="false">C381-C382</f>
        <v>30.9291731887492</v>
      </c>
      <c r="D383" s="18" t="n">
        <f aca="false">D381-D382</f>
        <v>32.0289827631271</v>
      </c>
      <c r="E383" s="18" t="n">
        <f aca="false">E381-E382</f>
        <v>51.6074794696068</v>
      </c>
      <c r="F383" s="18" t="n">
        <f aca="false">F381-F382</f>
        <v>118.420065097854</v>
      </c>
    </row>
    <row r="384" customFormat="false" ht="15" hidden="false" customHeight="false" outlineLevel="0" collapsed="false">
      <c r="A384" s="10" t="s">
        <v>558</v>
      </c>
      <c r="B384" s="33" t="n">
        <f aca="false">ROUND(B370+B369-B372+B379-B380+B374-B381,6)</f>
        <v>0</v>
      </c>
      <c r="C384" s="33" t="n">
        <f aca="false">ROUND(C370+C369-C372+C379-C380+C374-C381,6)</f>
        <v>0</v>
      </c>
      <c r="D384" s="33" t="n">
        <f aca="false">ROUND(D370+D369-D372+D379-D380+D374-D381,6)</f>
        <v>0</v>
      </c>
      <c r="E384" s="33" t="n">
        <f aca="false">ROUND(E370+E369-E372+E379-E380+E374-E381,6)</f>
        <v>0</v>
      </c>
      <c r="F384" s="33" t="n">
        <f aca="false">ROUND(F370+F369-F372+F379-F380+F374-F381,6)</f>
        <v>0</v>
      </c>
    </row>
    <row r="385" customFormat="false" ht="15" hidden="false" customHeight="false" outlineLevel="0" collapsed="false">
      <c r="A385" s="10" t="s">
        <v>559</v>
      </c>
      <c r="B385" s="47" t="n">
        <f aca="false">B375</f>
        <v>0</v>
      </c>
      <c r="C385" s="47" t="n">
        <f aca="false">B385+C375</f>
        <v>0</v>
      </c>
      <c r="D385" s="47" t="n">
        <f aca="false">C385+D375</f>
        <v>0</v>
      </c>
      <c r="E385" s="47" t="n">
        <f aca="false">D385+E375</f>
        <v>0</v>
      </c>
      <c r="F385" s="47" t="n">
        <f aca="false">E385+F375</f>
        <v>0</v>
      </c>
    </row>
    <row r="386" customFormat="false" ht="15" hidden="false" customHeight="false" outlineLevel="0" collapsed="false">
      <c r="A386" s="10" t="s">
        <v>560</v>
      </c>
      <c r="B386" s="49" t="str">
        <f aca="false">IF(B385&gt;Inputs!$B$73,"UNFUNDED: above limit",IF(B375&gt;0,"Raising","OK"))</f>
        <v>OK</v>
      </c>
      <c r="C386" s="49" t="str">
        <f aca="false">IF(C385&gt;Inputs!$B$73,"UNFUNDED: above limit",IF(C375&gt;0,"Raising","OK"))</f>
        <v>OK</v>
      </c>
      <c r="D386" s="49" t="str">
        <f aca="false">IF(D385&gt;Inputs!$B$73,"UNFUNDED: above limit",IF(D375&gt;0,"Raising","OK"))</f>
        <v>OK</v>
      </c>
      <c r="E386" s="49" t="str">
        <f aca="false">IF(E385&gt;Inputs!$B$73,"UNFUNDED: above limit",IF(E375&gt;0,"Raising","OK"))</f>
        <v>OK</v>
      </c>
      <c r="F386" s="49" t="str">
        <f aca="false">IF(F385&gt;Inputs!$B$73,"UNFUNDED: above limit",IF(F375&gt;0,"Raising","OK"))</f>
        <v>OK</v>
      </c>
    </row>
    <row r="387" customFormat="false" ht="15" hidden="false" customHeight="false" outlineLevel="0" collapsed="false">
      <c r="A387" s="10" t="s">
        <v>561</v>
      </c>
      <c r="B387" s="47" t="n">
        <f aca="false">$F$344</f>
        <v>96.9659507451145</v>
      </c>
    </row>
    <row r="388" customFormat="false" ht="15" hidden="false" customHeight="false" outlineLevel="0" collapsed="false">
      <c r="A388" s="10" t="s">
        <v>562</v>
      </c>
      <c r="B388" s="19" t="n">
        <f aca="false">IF(Inputs!$B$8=1,Inputs!$B$79,IFERROR($F$363/$F$344,0))</f>
        <v>0.2416</v>
      </c>
    </row>
    <row r="389" customFormat="false" ht="15" hidden="false" customHeight="false" outlineLevel="0" collapsed="false">
      <c r="A389" s="10" t="s">
        <v>563</v>
      </c>
      <c r="B389" s="47" t="n">
        <f aca="false">$B$387*(1-$B$388)</f>
        <v>73.5389770450948</v>
      </c>
    </row>
    <row r="390" customFormat="false" ht="15" hidden="false" customHeight="false" outlineLevel="0" collapsed="false">
      <c r="A390" s="10" t="s">
        <v>564</v>
      </c>
      <c r="B390" s="50" t="n">
        <f aca="false">Inputs!$C$152</f>
        <v>40</v>
      </c>
    </row>
    <row r="391" customFormat="false" ht="15" hidden="false" customHeight="false" outlineLevel="0" collapsed="false">
      <c r="A391" s="10" t="s">
        <v>565</v>
      </c>
      <c r="B391" s="47" t="n">
        <f aca="false">$B$389*$B$390*$F$527</f>
        <v>1937.69607946168</v>
      </c>
    </row>
    <row r="392" customFormat="false" ht="15" hidden="false" customHeight="false" outlineLevel="0" collapsed="false">
      <c r="A392" s="10" t="s">
        <v>566</v>
      </c>
      <c r="B392" s="47" t="n">
        <f aca="false">SUMPRODUCT($C$368:$F$368,$C$527:$F$527)</f>
        <v>24.2063371450077</v>
      </c>
    </row>
    <row r="393" customFormat="false" ht="15" hidden="false" customHeight="false" outlineLevel="0" collapsed="false">
      <c r="A393" s="10" t="s">
        <v>567</v>
      </c>
      <c r="B393" s="18" t="n">
        <f aca="false">$B$391+$B$392</f>
        <v>1961.90241660669</v>
      </c>
    </row>
    <row r="394" customFormat="false" ht="15" hidden="false" customHeight="false" outlineLevel="0" collapsed="false">
      <c r="A394" s="10" t="s">
        <v>568</v>
      </c>
      <c r="B394" s="47" t="n">
        <f aca="false">$B$389+$F$343-$F$346-$F$367</f>
        <v>43.5458809947664</v>
      </c>
    </row>
    <row r="395" customFormat="false" ht="15" hidden="false" customHeight="false" outlineLevel="0" collapsed="false">
      <c r="A395" s="10" t="s">
        <v>569</v>
      </c>
      <c r="B395" s="50" t="n">
        <f aca="false">Inputs!$C$153</f>
        <v>32</v>
      </c>
    </row>
    <row r="396" customFormat="false" ht="15" hidden="false" customHeight="false" outlineLevel="0" collapsed="false">
      <c r="A396" s="10" t="s">
        <v>570</v>
      </c>
      <c r="B396" s="47" t="n">
        <f aca="false">$B$394*$B$395*$F$527</f>
        <v>917.920659445911</v>
      </c>
    </row>
    <row r="397" customFormat="false" ht="15" hidden="false" customHeight="false" outlineLevel="0" collapsed="false">
      <c r="A397" s="10" t="s">
        <v>571</v>
      </c>
      <c r="B397" s="18" t="n">
        <f aca="false">$B$392+$B$396</f>
        <v>942.126996590919</v>
      </c>
    </row>
    <row r="398" customFormat="false" ht="15" hidden="false" customHeight="false" outlineLevel="0" collapsed="false">
      <c r="A398" s="13" t="s">
        <v>572</v>
      </c>
      <c r="B398" s="18" t="n">
        <f aca="false">$B$393*Inputs!$B$7+$B$397*(1-Inputs!$B$7)</f>
        <v>1452.01470659881</v>
      </c>
    </row>
    <row r="399" customFormat="false" ht="15" hidden="false" customHeight="false" outlineLevel="0" collapsed="false">
      <c r="A399" s="10" t="s">
        <v>573</v>
      </c>
      <c r="B399" s="47" t="n">
        <f aca="false">MAX(0,$F$349)</f>
        <v>78.9700931149174</v>
      </c>
      <c r="H399" s="51" t="n">
        <v>1</v>
      </c>
      <c r="I399" s="51" t="n">
        <v>2</v>
      </c>
      <c r="J399" s="51" t="n">
        <v>3</v>
      </c>
      <c r="K399" s="51" t="n">
        <v>4</v>
      </c>
      <c r="L399" s="51" t="n">
        <v>5</v>
      </c>
      <c r="M399" s="51" t="n">
        <v>6</v>
      </c>
      <c r="N399" s="51" t="n">
        <v>7</v>
      </c>
      <c r="O399" s="51" t="n">
        <v>8</v>
      </c>
      <c r="P399" s="51" t="n">
        <v>9</v>
      </c>
      <c r="Q399" s="51" t="n">
        <v>10</v>
      </c>
      <c r="R399" s="51" t="n">
        <v>11</v>
      </c>
      <c r="S399" s="51" t="n">
        <v>12</v>
      </c>
      <c r="T399" s="51" t="n">
        <v>13</v>
      </c>
      <c r="U399" s="51" t="n">
        <v>14</v>
      </c>
      <c r="V399" s="51" t="n">
        <v>15</v>
      </c>
      <c r="W399" s="51" t="n">
        <v>16</v>
      </c>
      <c r="X399" s="51" t="n">
        <v>17</v>
      </c>
      <c r="Y399" s="51" t="n">
        <v>18</v>
      </c>
      <c r="Z399" s="51" t="n">
        <v>19</v>
      </c>
      <c r="AA399" s="51" t="n">
        <v>20</v>
      </c>
      <c r="AB399" s="51" t="n">
        <v>21</v>
      </c>
      <c r="AC399" s="51" t="n">
        <v>22</v>
      </c>
      <c r="AD399" s="51" t="n">
        <v>23</v>
      </c>
      <c r="AE399" s="51" t="n">
        <v>24</v>
      </c>
      <c r="AF399" s="51" t="n">
        <v>25</v>
      </c>
      <c r="AG399" s="51" t="n">
        <v>26</v>
      </c>
      <c r="AH399" s="51" t="n">
        <v>27</v>
      </c>
      <c r="AI399" s="51" t="n">
        <v>28</v>
      </c>
      <c r="AJ399" s="51" t="n">
        <v>29</v>
      </c>
      <c r="AK399" s="51" t="n">
        <v>30</v>
      </c>
    </row>
    <row r="400" customFormat="false" ht="15" hidden="false" customHeight="false" outlineLevel="0" collapsed="false">
      <c r="A400" s="10" t="s">
        <v>574</v>
      </c>
      <c r="H400" s="25" t="n">
        <f aca="false">1/(1+Inputs!$B$6)^1</f>
        <v>0.900900900900901</v>
      </c>
      <c r="I400" s="25" t="n">
        <f aca="false">1/(1+Inputs!$B$6)^2</f>
        <v>0.811622433244055</v>
      </c>
      <c r="J400" s="25" t="n">
        <f aca="false">1/(1+Inputs!$B$6)^3</f>
        <v>0.73119138130095</v>
      </c>
      <c r="K400" s="25" t="n">
        <f aca="false">1/(1+Inputs!$B$6)^4</f>
        <v>0.658730974145</v>
      </c>
      <c r="L400" s="25" t="n">
        <f aca="false">1/(1+Inputs!$B$6)^5</f>
        <v>0.593451328058559</v>
      </c>
      <c r="M400" s="25" t="n">
        <f aca="false">1/(1+Inputs!$B$6)^6</f>
        <v>0.534640836088791</v>
      </c>
      <c r="N400" s="25" t="n">
        <f aca="false">1/(1+Inputs!$B$6)^7</f>
        <v>0.481658410890803</v>
      </c>
      <c r="O400" s="25" t="n">
        <f aca="false">1/(1+Inputs!$B$6)^8</f>
        <v>0.433926496298021</v>
      </c>
      <c r="P400" s="25" t="n">
        <f aca="false">1/(1+Inputs!$B$6)^9</f>
        <v>0.390924771439658</v>
      </c>
      <c r="Q400" s="25" t="n">
        <f aca="false">1/(1+Inputs!$B$6)^10</f>
        <v>0.352184478774467</v>
      </c>
      <c r="R400" s="25" t="n">
        <f aca="false">1/(1+Inputs!$B$6)^11</f>
        <v>0.317283314211231</v>
      </c>
      <c r="S400" s="25" t="n">
        <f aca="false">1/(1+Inputs!$B$6)^12</f>
        <v>0.285840823613722</v>
      </c>
      <c r="T400" s="25" t="n">
        <f aca="false">1/(1+Inputs!$B$6)^13</f>
        <v>0.257514255507858</v>
      </c>
      <c r="U400" s="25" t="n">
        <f aca="false">1/(1+Inputs!$B$6)^14</f>
        <v>0.231994824781854</v>
      </c>
      <c r="V400" s="25" t="n">
        <f aca="false">1/(1+Inputs!$B$6)^15</f>
        <v>0.209004346650319</v>
      </c>
      <c r="W400" s="25" t="n">
        <f aca="false">1/(1+Inputs!$B$6)^16</f>
        <v>0.188292204189476</v>
      </c>
      <c r="X400" s="25" t="n">
        <f aca="false">1/(1+Inputs!$B$6)^17</f>
        <v>0.169632616386915</v>
      </c>
      <c r="Y400" s="25" t="n">
        <f aca="false">1/(1+Inputs!$B$6)^18</f>
        <v>0.152822176925149</v>
      </c>
      <c r="Z400" s="25" t="n">
        <f aca="false">1/(1+Inputs!$B$6)^19</f>
        <v>0.137677636869504</v>
      </c>
      <c r="AA400" s="25" t="n">
        <f aca="false">1/(1+Inputs!$B$6)^20</f>
        <v>0.124033907089643</v>
      </c>
      <c r="AB400" s="25" t="n">
        <f aca="false">1/(1+Inputs!$B$6)^21</f>
        <v>0.111742258639318</v>
      </c>
      <c r="AC400" s="25" t="n">
        <f aca="false">1/(1+Inputs!$B$6)^22</f>
        <v>0.100668701476863</v>
      </c>
      <c r="AD400" s="25" t="n">
        <f aca="false">1/(1+Inputs!$B$6)^23</f>
        <v>0.0906925238530297</v>
      </c>
      <c r="AE400" s="25" t="n">
        <f aca="false">1/(1+Inputs!$B$6)^24</f>
        <v>0.0817049764441709</v>
      </c>
      <c r="AF400" s="25" t="n">
        <f aca="false">1/(1+Inputs!$B$6)^25</f>
        <v>0.0736080868866405</v>
      </c>
      <c r="AG400" s="25" t="n">
        <f aca="false">1/(1+Inputs!$B$6)^26</f>
        <v>0.0663135917897662</v>
      </c>
      <c r="AH400" s="25" t="n">
        <f aca="false">1/(1+Inputs!$B$6)^27</f>
        <v>0.0597419745853749</v>
      </c>
      <c r="AI400" s="25" t="n">
        <f aca="false">1/(1+Inputs!$B$6)^28</f>
        <v>0.053821598725563</v>
      </c>
      <c r="AJ400" s="25" t="n">
        <f aca="false">1/(1+Inputs!$B$6)^29</f>
        <v>0.0484879267797865</v>
      </c>
      <c r="AK400" s="25" t="n">
        <f aca="false">1/(1+Inputs!$B$6)^30</f>
        <v>0.0436828169187266</v>
      </c>
    </row>
    <row r="401" customFormat="false" ht="15" hidden="false" customHeight="false" outlineLevel="0" collapsed="false">
      <c r="A401" s="10" t="s">
        <v>575</v>
      </c>
      <c r="G401" s="47" t="n">
        <f aca="false">$F$352</f>
        <v>0</v>
      </c>
      <c r="H401" s="47" t="n">
        <f aca="false">G401</f>
        <v>0</v>
      </c>
      <c r="I401" s="47" t="n">
        <f aca="false">H401-H402</f>
        <v>0</v>
      </c>
      <c r="J401" s="47" t="n">
        <f aca="false">I401-I402</f>
        <v>0</v>
      </c>
      <c r="K401" s="47" t="n">
        <f aca="false">J401-J402</f>
        <v>0</v>
      </c>
      <c r="L401" s="47" t="n">
        <f aca="false">K401-K402</f>
        <v>0</v>
      </c>
      <c r="M401" s="47" t="n">
        <f aca="false">L401-L402</f>
        <v>0</v>
      </c>
      <c r="N401" s="47" t="n">
        <f aca="false">M401-M402</f>
        <v>0</v>
      </c>
      <c r="O401" s="47" t="n">
        <f aca="false">N401-N402</f>
        <v>0</v>
      </c>
      <c r="P401" s="47" t="n">
        <f aca="false">O401-O402</f>
        <v>0</v>
      </c>
      <c r="Q401" s="47" t="n">
        <f aca="false">P401-P402</f>
        <v>0</v>
      </c>
      <c r="R401" s="47" t="n">
        <f aca="false">Q401-Q402</f>
        <v>0</v>
      </c>
      <c r="S401" s="47" t="n">
        <f aca="false">R401-R402</f>
        <v>0</v>
      </c>
      <c r="T401" s="47" t="n">
        <f aca="false">S401-S402</f>
        <v>0</v>
      </c>
      <c r="U401" s="47" t="n">
        <f aca="false">T401-T402</f>
        <v>0</v>
      </c>
      <c r="V401" s="47" t="n">
        <f aca="false">U401-U402</f>
        <v>0</v>
      </c>
      <c r="W401" s="47" t="n">
        <f aca="false">V401-V402</f>
        <v>0</v>
      </c>
      <c r="X401" s="47" t="n">
        <f aca="false">W401-W402</f>
        <v>0</v>
      </c>
      <c r="Y401" s="47" t="n">
        <f aca="false">X401-X402</f>
        <v>0</v>
      </c>
      <c r="Z401" s="47" t="n">
        <f aca="false">Y401-Y402</f>
        <v>0</v>
      </c>
      <c r="AA401" s="47" t="n">
        <f aca="false">Z401-Z402</f>
        <v>0</v>
      </c>
      <c r="AB401" s="47" t="n">
        <f aca="false">AA401-AA402</f>
        <v>0</v>
      </c>
      <c r="AC401" s="47" t="n">
        <f aca="false">AB401-AB402</f>
        <v>0</v>
      </c>
      <c r="AD401" s="47" t="n">
        <f aca="false">AC401-AC402</f>
        <v>0</v>
      </c>
      <c r="AE401" s="47" t="n">
        <f aca="false">AD401-AD402</f>
        <v>0</v>
      </c>
      <c r="AF401" s="47" t="n">
        <f aca="false">AE401-AE402</f>
        <v>0</v>
      </c>
      <c r="AG401" s="47" t="n">
        <f aca="false">AF401-AF402</f>
        <v>0</v>
      </c>
      <c r="AH401" s="47" t="n">
        <f aca="false">AG401-AG402</f>
        <v>0</v>
      </c>
      <c r="AI401" s="47" t="n">
        <f aca="false">AH401-AH402</f>
        <v>0</v>
      </c>
      <c r="AJ401" s="47" t="n">
        <f aca="false">AI401-AI402</f>
        <v>0</v>
      </c>
      <c r="AK401" s="47" t="n">
        <f aca="false">AJ401-AJ402</f>
        <v>0</v>
      </c>
    </row>
    <row r="402" customFormat="false" ht="15" hidden="false" customHeight="false" outlineLevel="0" collapsed="false">
      <c r="A402" s="10" t="s">
        <v>576</v>
      </c>
      <c r="H402" s="47" t="n">
        <f aca="false">IF(1&lt;=Inputs!$B$44,MIN(H401,$B$399,1E+099),0)</f>
        <v>0</v>
      </c>
      <c r="I402" s="47" t="n">
        <f aca="false">IF(2&lt;=Inputs!$B$44,MIN(I401,$B$399,1E+099),0)</f>
        <v>0</v>
      </c>
      <c r="J402" s="47" t="n">
        <f aca="false">IF(3&lt;=Inputs!$B$44,MIN(J401,$B$399,1E+099),0)</f>
        <v>0</v>
      </c>
      <c r="K402" s="47" t="n">
        <f aca="false">IF(4&lt;=Inputs!$B$44,MIN(K401,$B$399,1E+099),0)</f>
        <v>0</v>
      </c>
      <c r="L402" s="47" t="n">
        <f aca="false">IF(5&lt;=Inputs!$B$44,MIN(L401,$B$399,1E+099),0)</f>
        <v>0</v>
      </c>
      <c r="M402" s="47" t="n">
        <f aca="false">IF(6&lt;=Inputs!$B$44,MIN(M401,$B$399,1E+099),0)</f>
        <v>0</v>
      </c>
      <c r="N402" s="47" t="n">
        <f aca="false">IF(7&lt;=Inputs!$B$44,MIN(N401,$B$399,1E+099),0)</f>
        <v>0</v>
      </c>
      <c r="O402" s="47" t="n">
        <f aca="false">IF(8&lt;=Inputs!$B$44,MIN(O401,$B$399,1E+099),0)</f>
        <v>0</v>
      </c>
      <c r="P402" s="47" t="n">
        <f aca="false">IF(9&lt;=Inputs!$B$44,MIN(P401,$B$399,1E+099),0)</f>
        <v>0</v>
      </c>
      <c r="Q402" s="47" t="n">
        <f aca="false">IF(10&lt;=Inputs!$B$44,MIN(Q401,$B$399,1E+099),0)</f>
        <v>0</v>
      </c>
      <c r="R402" s="47" t="n">
        <f aca="false">IF(11&lt;=Inputs!$B$44,MIN(R401,$B$399,1E+099),0)</f>
        <v>0</v>
      </c>
      <c r="S402" s="47" t="n">
        <f aca="false">IF(12&lt;=Inputs!$B$44,MIN(S401,$B$399,1E+099),0)</f>
        <v>0</v>
      </c>
      <c r="T402" s="47" t="n">
        <f aca="false">IF(13&lt;=Inputs!$B$44,MIN(T401,$B$399,1E+099),0)</f>
        <v>0</v>
      </c>
      <c r="U402" s="47" t="n">
        <f aca="false">IF(14&lt;=Inputs!$B$44,MIN(U401,$B$399,1E+099),0)</f>
        <v>0</v>
      </c>
      <c r="V402" s="47" t="n">
        <f aca="false">IF(15&lt;=Inputs!$B$44,MIN(V401,$B$399,1E+099),0)</f>
        <v>0</v>
      </c>
      <c r="W402" s="47" t="n">
        <f aca="false">IF(16&lt;=Inputs!$B$44,MIN(W401,$B$399,1E+099),0)</f>
        <v>0</v>
      </c>
      <c r="X402" s="47" t="n">
        <f aca="false">IF(17&lt;=Inputs!$B$44,MIN(X401,$B$399,1E+099),0)</f>
        <v>0</v>
      </c>
      <c r="Y402" s="47" t="n">
        <f aca="false">IF(18&lt;=Inputs!$B$44,MIN(Y401,$B$399,1E+099),0)</f>
        <v>0</v>
      </c>
      <c r="Z402" s="47" t="n">
        <f aca="false">IF(19&lt;=Inputs!$B$44,MIN(Z401,$B$399,1E+099),0)</f>
        <v>0</v>
      </c>
      <c r="AA402" s="47" t="n">
        <f aca="false">IF(20&lt;=Inputs!$B$44,MIN(AA401,$B$399,1E+099),0)</f>
        <v>0</v>
      </c>
      <c r="AB402" s="47" t="n">
        <f aca="false">IF(21&lt;=Inputs!$B$44,MIN(AB401,$B$399,1E+099),0)</f>
        <v>0</v>
      </c>
      <c r="AC402" s="47" t="n">
        <f aca="false">IF(22&lt;=Inputs!$B$44,MIN(AC401,$B$399,1E+099),0)</f>
        <v>0</v>
      </c>
      <c r="AD402" s="47" t="n">
        <f aca="false">IF(23&lt;=Inputs!$B$44,MIN(AD401,$B$399,1E+099),0)</f>
        <v>0</v>
      </c>
      <c r="AE402" s="47" t="n">
        <f aca="false">IF(24&lt;=Inputs!$B$44,MIN(AE401,$B$399,1E+099),0)</f>
        <v>0</v>
      </c>
      <c r="AF402" s="47" t="n">
        <f aca="false">IF(25&lt;=Inputs!$B$44,MIN(AF401,$B$399,1E+099),0)</f>
        <v>0</v>
      </c>
      <c r="AG402" s="47" t="n">
        <f aca="false">IF(26&lt;=Inputs!$B$44,MIN(AG401,$B$399,1E+099),0)</f>
        <v>0</v>
      </c>
      <c r="AH402" s="47" t="n">
        <f aca="false">IF(27&lt;=Inputs!$B$44,MIN(AH401,$B$399,1E+099),0)</f>
        <v>0</v>
      </c>
      <c r="AI402" s="47" t="n">
        <f aca="false">IF(28&lt;=Inputs!$B$44,MIN(AI401,$B$399,1E+099),0)</f>
        <v>0</v>
      </c>
      <c r="AJ402" s="47" t="n">
        <f aca="false">IF(29&lt;=Inputs!$B$44,MIN(AJ401,$B$399,1E+099),0)</f>
        <v>0</v>
      </c>
      <c r="AK402" s="47" t="n">
        <f aca="false">IF(30&lt;=Inputs!$B$44,MIN(AK401,$B$399,1E+099),0)</f>
        <v>0</v>
      </c>
    </row>
    <row r="403" customFormat="false" ht="15" hidden="false" customHeight="false" outlineLevel="0" collapsed="false">
      <c r="A403" s="10" t="s">
        <v>577</v>
      </c>
      <c r="G403" s="47" t="n">
        <f aca="false">$F$353</f>
        <v>0</v>
      </c>
      <c r="H403" s="47" t="n">
        <f aca="false">G403</f>
        <v>0</v>
      </c>
      <c r="I403" s="47" t="n">
        <f aca="false">H403-H404</f>
        <v>0</v>
      </c>
      <c r="J403" s="47" t="n">
        <f aca="false">I403-I404</f>
        <v>0</v>
      </c>
      <c r="K403" s="47" t="n">
        <f aca="false">J403-J404</f>
        <v>0</v>
      </c>
      <c r="L403" s="47" t="n">
        <f aca="false">K403-K404</f>
        <v>0</v>
      </c>
      <c r="M403" s="47" t="n">
        <f aca="false">L403-L404</f>
        <v>0</v>
      </c>
      <c r="N403" s="47" t="n">
        <f aca="false">M403-M404</f>
        <v>0</v>
      </c>
      <c r="O403" s="47" t="n">
        <f aca="false">N403-N404</f>
        <v>0</v>
      </c>
      <c r="P403" s="47" t="n">
        <f aca="false">O403-O404</f>
        <v>0</v>
      </c>
      <c r="Q403" s="47" t="n">
        <f aca="false">P403-P404</f>
        <v>0</v>
      </c>
      <c r="R403" s="47" t="n">
        <f aca="false">Q403-Q404</f>
        <v>0</v>
      </c>
      <c r="S403" s="47" t="n">
        <f aca="false">R403-R404</f>
        <v>0</v>
      </c>
      <c r="T403" s="47" t="n">
        <f aca="false">S403-S404</f>
        <v>0</v>
      </c>
      <c r="U403" s="47" t="n">
        <f aca="false">T403-T404</f>
        <v>0</v>
      </c>
      <c r="V403" s="47" t="n">
        <f aca="false">U403-U404</f>
        <v>0</v>
      </c>
      <c r="W403" s="47" t="n">
        <f aca="false">V403-V404</f>
        <v>0</v>
      </c>
      <c r="X403" s="47" t="n">
        <f aca="false">W403-W404</f>
        <v>0</v>
      </c>
      <c r="Y403" s="47" t="n">
        <f aca="false">X403-X404</f>
        <v>0</v>
      </c>
      <c r="Z403" s="47" t="n">
        <f aca="false">Y403-Y404</f>
        <v>0</v>
      </c>
      <c r="AA403" s="47" t="n">
        <f aca="false">Z403-Z404</f>
        <v>0</v>
      </c>
      <c r="AB403" s="47" t="n">
        <f aca="false">AA403-AA404</f>
        <v>0</v>
      </c>
      <c r="AC403" s="47" t="n">
        <f aca="false">AB403-AB404</f>
        <v>0</v>
      </c>
      <c r="AD403" s="47" t="n">
        <f aca="false">AC403-AC404</f>
        <v>0</v>
      </c>
      <c r="AE403" s="47" t="n">
        <f aca="false">AD403-AD404</f>
        <v>0</v>
      </c>
      <c r="AF403" s="47" t="n">
        <f aca="false">AE403-AE404</f>
        <v>0</v>
      </c>
      <c r="AG403" s="47" t="n">
        <f aca="false">AF403-AF404</f>
        <v>0</v>
      </c>
      <c r="AH403" s="47" t="n">
        <f aca="false">AG403-AG404</f>
        <v>0</v>
      </c>
      <c r="AI403" s="47" t="n">
        <f aca="false">AH403-AH404</f>
        <v>0</v>
      </c>
      <c r="AJ403" s="47" t="n">
        <f aca="false">AI403-AI404</f>
        <v>0</v>
      </c>
      <c r="AK403" s="47" t="n">
        <f aca="false">AJ403-AJ404</f>
        <v>0</v>
      </c>
    </row>
    <row r="404" customFormat="false" ht="15" hidden="false" customHeight="false" outlineLevel="0" collapsed="false">
      <c r="A404" s="10" t="s">
        <v>576</v>
      </c>
      <c r="H404" s="47" t="n">
        <f aca="false">IF(1&lt;=Inputs!$B$44,MIN(H403,$B$399-H402),0)</f>
        <v>0</v>
      </c>
      <c r="I404" s="47" t="n">
        <f aca="false">IF(2&lt;=Inputs!$B$44,MIN(I403,$B$399-I402),0)</f>
        <v>0</v>
      </c>
      <c r="J404" s="47" t="n">
        <f aca="false">IF(3&lt;=Inputs!$B$44,MIN(J403,$B$399-J402),0)</f>
        <v>0</v>
      </c>
      <c r="K404" s="47" t="n">
        <f aca="false">IF(4&lt;=Inputs!$B$44,MIN(K403,$B$399-K402),0)</f>
        <v>0</v>
      </c>
      <c r="L404" s="47" t="n">
        <f aca="false">IF(5&lt;=Inputs!$B$44,MIN(L403,$B$399-L402),0)</f>
        <v>0</v>
      </c>
      <c r="M404" s="47" t="n">
        <f aca="false">IF(6&lt;=Inputs!$B$44,MIN(M403,$B$399-M402),0)</f>
        <v>0</v>
      </c>
      <c r="N404" s="47" t="n">
        <f aca="false">IF(7&lt;=Inputs!$B$44,MIN(N403,$B$399-N402),0)</f>
        <v>0</v>
      </c>
      <c r="O404" s="47" t="n">
        <f aca="false">IF(8&lt;=Inputs!$B$44,MIN(O403,$B$399-O402),0)</f>
        <v>0</v>
      </c>
      <c r="P404" s="47" t="n">
        <f aca="false">IF(9&lt;=Inputs!$B$44,MIN(P403,$B$399-P402),0)</f>
        <v>0</v>
      </c>
      <c r="Q404" s="47" t="n">
        <f aca="false">IF(10&lt;=Inputs!$B$44,MIN(Q403,$B$399-Q402),0)</f>
        <v>0</v>
      </c>
      <c r="R404" s="47" t="n">
        <f aca="false">IF(11&lt;=Inputs!$B$44,MIN(R403,$B$399-R402),0)</f>
        <v>0</v>
      </c>
      <c r="S404" s="47" t="n">
        <f aca="false">IF(12&lt;=Inputs!$B$44,MIN(S403,$B$399-S402),0)</f>
        <v>0</v>
      </c>
      <c r="T404" s="47" t="n">
        <f aca="false">IF(13&lt;=Inputs!$B$44,MIN(T403,$B$399-T402),0)</f>
        <v>0</v>
      </c>
      <c r="U404" s="47" t="n">
        <f aca="false">IF(14&lt;=Inputs!$B$44,MIN(U403,$B$399-U402),0)</f>
        <v>0</v>
      </c>
      <c r="V404" s="47" t="n">
        <f aca="false">IF(15&lt;=Inputs!$B$44,MIN(V403,$B$399-V402),0)</f>
        <v>0</v>
      </c>
      <c r="W404" s="47" t="n">
        <f aca="false">IF(16&lt;=Inputs!$B$44,MIN(W403,$B$399-W402),0)</f>
        <v>0</v>
      </c>
      <c r="X404" s="47" t="n">
        <f aca="false">IF(17&lt;=Inputs!$B$44,MIN(X403,$B$399-X402),0)</f>
        <v>0</v>
      </c>
      <c r="Y404" s="47" t="n">
        <f aca="false">IF(18&lt;=Inputs!$B$44,MIN(Y403,$B$399-Y402),0)</f>
        <v>0</v>
      </c>
      <c r="Z404" s="47" t="n">
        <f aca="false">IF(19&lt;=Inputs!$B$44,MIN(Z403,$B$399-Z402),0)</f>
        <v>0</v>
      </c>
      <c r="AA404" s="47" t="n">
        <f aca="false">IF(20&lt;=Inputs!$B$44,MIN(AA403,$B$399-AA402),0)</f>
        <v>0</v>
      </c>
      <c r="AB404" s="47" t="n">
        <f aca="false">IF(21&lt;=Inputs!$B$44,MIN(AB403,$B$399-AB402),0)</f>
        <v>0</v>
      </c>
      <c r="AC404" s="47" t="n">
        <f aca="false">IF(22&lt;=Inputs!$B$44,MIN(AC403,$B$399-AC402),0)</f>
        <v>0</v>
      </c>
      <c r="AD404" s="47" t="n">
        <f aca="false">IF(23&lt;=Inputs!$B$44,MIN(AD403,$B$399-AD402),0)</f>
        <v>0</v>
      </c>
      <c r="AE404" s="47" t="n">
        <f aca="false">IF(24&lt;=Inputs!$B$44,MIN(AE403,$B$399-AE402),0)</f>
        <v>0</v>
      </c>
      <c r="AF404" s="47" t="n">
        <f aca="false">IF(25&lt;=Inputs!$B$44,MIN(AF403,$B$399-AF402),0)</f>
        <v>0</v>
      </c>
      <c r="AG404" s="47" t="n">
        <f aca="false">IF(26&lt;=Inputs!$B$44,MIN(AG403,$B$399-AG402),0)</f>
        <v>0</v>
      </c>
      <c r="AH404" s="47" t="n">
        <f aca="false">IF(27&lt;=Inputs!$B$44,MIN(AH403,$B$399-AH402),0)</f>
        <v>0</v>
      </c>
      <c r="AI404" s="47" t="n">
        <f aca="false">IF(28&lt;=Inputs!$B$44,MIN(AI403,$B$399-AI402),0)</f>
        <v>0</v>
      </c>
      <c r="AJ404" s="47" t="n">
        <f aca="false">IF(29&lt;=Inputs!$B$44,MIN(AJ403,$B$399-AJ402),0)</f>
        <v>0</v>
      </c>
      <c r="AK404" s="47" t="n">
        <f aca="false">IF(30&lt;=Inputs!$B$44,MIN(AK403,$B$399-AK402),0)</f>
        <v>0</v>
      </c>
    </row>
    <row r="405" customFormat="false" ht="15" hidden="false" customHeight="false" outlineLevel="0" collapsed="false">
      <c r="A405" s="10" t="s">
        <v>578</v>
      </c>
      <c r="H405" s="47" t="n">
        <f aca="false">($B$399-H402-H404)*Inputs!$B$34</f>
        <v>3.1588037245967</v>
      </c>
      <c r="I405" s="47" t="n">
        <f aca="false">($B$399-I402-I404)*Inputs!$B$34</f>
        <v>3.1588037245967</v>
      </c>
      <c r="J405" s="47" t="n">
        <f aca="false">($B$399-J402-J404)*Inputs!$B$34</f>
        <v>3.1588037245967</v>
      </c>
      <c r="K405" s="47" t="n">
        <f aca="false">($B$399-K402-K404)*Inputs!$B$34</f>
        <v>3.1588037245967</v>
      </c>
      <c r="L405" s="47" t="n">
        <f aca="false">($B$399-L402-L404)*Inputs!$B$34</f>
        <v>3.1588037245967</v>
      </c>
      <c r="M405" s="47" t="n">
        <f aca="false">($B$399-M402-M404)*Inputs!$B$34</f>
        <v>3.1588037245967</v>
      </c>
      <c r="N405" s="47" t="n">
        <f aca="false">($B$399-N402-N404)*Inputs!$B$34</f>
        <v>3.1588037245967</v>
      </c>
      <c r="O405" s="47" t="n">
        <f aca="false">($B$399-O402-O404)*Inputs!$B$34</f>
        <v>3.1588037245967</v>
      </c>
      <c r="P405" s="47" t="n">
        <f aca="false">($B$399-P402-P404)*Inputs!$B$34</f>
        <v>3.1588037245967</v>
      </c>
      <c r="Q405" s="47" t="n">
        <f aca="false">($B$399-Q402-Q404)*Inputs!$B$34</f>
        <v>3.1588037245967</v>
      </c>
      <c r="R405" s="47" t="n">
        <f aca="false">($B$399-R402-R404)*Inputs!$B$34</f>
        <v>3.1588037245967</v>
      </c>
      <c r="S405" s="47" t="n">
        <f aca="false">($B$399-S402-S404)*Inputs!$B$34</f>
        <v>3.1588037245967</v>
      </c>
      <c r="T405" s="47" t="n">
        <f aca="false">($B$399-T402-T404)*Inputs!$B$34</f>
        <v>3.1588037245967</v>
      </c>
      <c r="U405" s="47" t="n">
        <f aca="false">($B$399-U402-U404)*Inputs!$B$34</f>
        <v>3.1588037245967</v>
      </c>
      <c r="V405" s="47" t="n">
        <f aca="false">($B$399-V402-V404)*Inputs!$B$34</f>
        <v>3.1588037245967</v>
      </c>
      <c r="W405" s="47" t="n">
        <f aca="false">($B$399-W402-W404)*Inputs!$B$34</f>
        <v>3.1588037245967</v>
      </c>
      <c r="X405" s="47" t="n">
        <f aca="false">($B$399-X402-X404)*Inputs!$B$34</f>
        <v>3.1588037245967</v>
      </c>
      <c r="Y405" s="47" t="n">
        <f aca="false">($B$399-Y402-Y404)*Inputs!$B$34</f>
        <v>3.1588037245967</v>
      </c>
      <c r="Z405" s="47" t="n">
        <f aca="false">($B$399-Z402-Z404)*Inputs!$B$34</f>
        <v>3.1588037245967</v>
      </c>
      <c r="AA405" s="47" t="n">
        <f aca="false">($B$399-AA402-AA404)*Inputs!$B$34</f>
        <v>3.1588037245967</v>
      </c>
      <c r="AB405" s="47" t="n">
        <f aca="false">($B$399-AB402-AB404)*Inputs!$B$34</f>
        <v>3.1588037245967</v>
      </c>
      <c r="AC405" s="47" t="n">
        <f aca="false">($B$399-AC402-AC404)*Inputs!$B$34</f>
        <v>3.1588037245967</v>
      </c>
      <c r="AD405" s="47" t="n">
        <f aca="false">($B$399-AD402-AD404)*Inputs!$B$34</f>
        <v>3.1588037245967</v>
      </c>
      <c r="AE405" s="47" t="n">
        <f aca="false">($B$399-AE402-AE404)*Inputs!$B$34</f>
        <v>3.1588037245967</v>
      </c>
      <c r="AF405" s="47" t="n">
        <f aca="false">($B$399-AF402-AF404)*Inputs!$B$34</f>
        <v>3.1588037245967</v>
      </c>
      <c r="AG405" s="47" t="n">
        <f aca="false">($B$399-AG402-AG404)*Inputs!$B$34</f>
        <v>3.1588037245967</v>
      </c>
      <c r="AH405" s="47" t="n">
        <f aca="false">($B$399-AH402-AH404)*Inputs!$B$34</f>
        <v>3.1588037245967</v>
      </c>
      <c r="AI405" s="47" t="n">
        <f aca="false">($B$399-AI402-AI404)*Inputs!$B$34</f>
        <v>3.1588037245967</v>
      </c>
      <c r="AJ405" s="47" t="n">
        <f aca="false">($B$399-AJ402-AJ404)*Inputs!$B$34</f>
        <v>3.1588037245967</v>
      </c>
      <c r="AK405" s="47" t="n">
        <f aca="false">($B$399-AK402-AK404)*Inputs!$B$34</f>
        <v>3.1588037245967</v>
      </c>
    </row>
    <row r="406" customFormat="false" ht="15" hidden="false" customHeight="false" outlineLevel="0" collapsed="false">
      <c r="A406" s="10" t="s">
        <v>579</v>
      </c>
      <c r="H406" s="47" t="n">
        <f aca="false">$B$399-H405</f>
        <v>75.8112893903207</v>
      </c>
      <c r="I406" s="47" t="n">
        <f aca="false">$B$399-I405</f>
        <v>75.8112893903207</v>
      </c>
      <c r="J406" s="47" t="n">
        <f aca="false">$B$399-J405</f>
        <v>75.8112893903207</v>
      </c>
      <c r="K406" s="47" t="n">
        <f aca="false">$B$399-K405</f>
        <v>75.8112893903207</v>
      </c>
      <c r="L406" s="47" t="n">
        <f aca="false">$B$399-L405</f>
        <v>75.8112893903207</v>
      </c>
      <c r="M406" s="47" t="n">
        <f aca="false">$B$399-M405</f>
        <v>75.8112893903207</v>
      </c>
      <c r="N406" s="47" t="n">
        <f aca="false">$B$399-N405</f>
        <v>75.8112893903207</v>
      </c>
      <c r="O406" s="47" t="n">
        <f aca="false">$B$399-O405</f>
        <v>75.8112893903207</v>
      </c>
      <c r="P406" s="47" t="n">
        <f aca="false">$B$399-P405</f>
        <v>75.8112893903207</v>
      </c>
      <c r="Q406" s="47" t="n">
        <f aca="false">$B$399-Q405</f>
        <v>75.8112893903207</v>
      </c>
      <c r="R406" s="47" t="n">
        <f aca="false">$B$399-R405</f>
        <v>75.8112893903207</v>
      </c>
      <c r="S406" s="47" t="n">
        <f aca="false">$B$399-S405</f>
        <v>75.8112893903207</v>
      </c>
      <c r="T406" s="47" t="n">
        <f aca="false">$B$399-T405</f>
        <v>75.8112893903207</v>
      </c>
      <c r="U406" s="47" t="n">
        <f aca="false">$B$399-U405</f>
        <v>75.8112893903207</v>
      </c>
      <c r="V406" s="47" t="n">
        <f aca="false">$B$399-V405</f>
        <v>75.8112893903207</v>
      </c>
      <c r="W406" s="47" t="n">
        <f aca="false">$B$399-W405</f>
        <v>75.8112893903207</v>
      </c>
      <c r="X406" s="47" t="n">
        <f aca="false">$B$399-X405</f>
        <v>75.8112893903207</v>
      </c>
      <c r="Y406" s="47" t="n">
        <f aca="false">$B$399-Y405</f>
        <v>75.8112893903207</v>
      </c>
      <c r="Z406" s="47" t="n">
        <f aca="false">$B$399-Z405</f>
        <v>75.8112893903207</v>
      </c>
      <c r="AA406" s="47" t="n">
        <f aca="false">$B$399-AA405</f>
        <v>75.8112893903207</v>
      </c>
      <c r="AB406" s="47" t="n">
        <f aca="false">$B$399-AB405</f>
        <v>75.8112893903207</v>
      </c>
      <c r="AC406" s="47" t="n">
        <f aca="false">$B$399-AC405</f>
        <v>75.8112893903207</v>
      </c>
      <c r="AD406" s="47" t="n">
        <f aca="false">$B$399-AD405</f>
        <v>75.8112893903207</v>
      </c>
      <c r="AE406" s="47" t="n">
        <f aca="false">$B$399-AE405</f>
        <v>75.8112893903207</v>
      </c>
      <c r="AF406" s="47" t="n">
        <f aca="false">$B$399-AF405</f>
        <v>75.8112893903207</v>
      </c>
      <c r="AG406" s="47" t="n">
        <f aca="false">$B$399-AG405</f>
        <v>75.8112893903207</v>
      </c>
      <c r="AH406" s="47" t="n">
        <f aca="false">$B$399-AH405</f>
        <v>75.8112893903207</v>
      </c>
      <c r="AI406" s="47" t="n">
        <f aca="false">$B$399-AI405</f>
        <v>75.8112893903207</v>
      </c>
      <c r="AJ406" s="47" t="n">
        <f aca="false">$B$399-AJ405</f>
        <v>75.8112893903207</v>
      </c>
      <c r="AK406" s="47" t="n">
        <f aca="false">$B$399-AK405</f>
        <v>75.8112893903207</v>
      </c>
    </row>
    <row r="407" customFormat="false" ht="15" hidden="false" customHeight="false" outlineLevel="0" collapsed="false">
      <c r="A407" s="10" t="s">
        <v>580</v>
      </c>
      <c r="G407" s="47" t="n">
        <f aca="false">$F$358</f>
        <v>0</v>
      </c>
      <c r="H407" s="47" t="n">
        <f aca="false">G407</f>
        <v>0</v>
      </c>
      <c r="I407" s="47" t="n">
        <f aca="false">H407-H408</f>
        <v>0</v>
      </c>
      <c r="J407" s="47" t="n">
        <f aca="false">I407-I408</f>
        <v>0</v>
      </c>
      <c r="K407" s="47" t="n">
        <f aca="false">J407-J408</f>
        <v>0</v>
      </c>
      <c r="L407" s="47" t="n">
        <f aca="false">K407-K408</f>
        <v>0</v>
      </c>
      <c r="M407" s="47" t="n">
        <f aca="false">L407-L408</f>
        <v>0</v>
      </c>
      <c r="N407" s="47" t="n">
        <f aca="false">M407-M408</f>
        <v>0</v>
      </c>
      <c r="O407" s="47" t="n">
        <f aca="false">N407-N408</f>
        <v>0</v>
      </c>
      <c r="P407" s="47" t="n">
        <f aca="false">O407-O408</f>
        <v>0</v>
      </c>
      <c r="Q407" s="47" t="n">
        <f aca="false">P407-P408</f>
        <v>0</v>
      </c>
      <c r="R407" s="47" t="n">
        <f aca="false">Q407-Q408</f>
        <v>0</v>
      </c>
      <c r="S407" s="47" t="n">
        <f aca="false">R407-R408</f>
        <v>0</v>
      </c>
      <c r="T407" s="47" t="n">
        <f aca="false">S407-S408</f>
        <v>0</v>
      </c>
      <c r="U407" s="47" t="n">
        <f aca="false">T407-T408</f>
        <v>0</v>
      </c>
      <c r="V407" s="47" t="n">
        <f aca="false">U407-U408</f>
        <v>0</v>
      </c>
      <c r="W407" s="47" t="n">
        <f aca="false">V407-V408</f>
        <v>0</v>
      </c>
      <c r="X407" s="47" t="n">
        <f aca="false">W407-W408</f>
        <v>0</v>
      </c>
      <c r="Y407" s="47" t="n">
        <f aca="false">X407-X408</f>
        <v>0</v>
      </c>
      <c r="Z407" s="47" t="n">
        <f aca="false">Y407-Y408</f>
        <v>0</v>
      </c>
      <c r="AA407" s="47" t="n">
        <f aca="false">Z407-Z408</f>
        <v>0</v>
      </c>
      <c r="AB407" s="47" t="n">
        <f aca="false">AA407-AA408</f>
        <v>0</v>
      </c>
      <c r="AC407" s="47" t="n">
        <f aca="false">AB407-AB408</f>
        <v>0</v>
      </c>
      <c r="AD407" s="47" t="n">
        <f aca="false">AC407-AC408</f>
        <v>0</v>
      </c>
      <c r="AE407" s="47" t="n">
        <f aca="false">AD407-AD408</f>
        <v>0</v>
      </c>
      <c r="AF407" s="47" t="n">
        <f aca="false">AE407-AE408</f>
        <v>0</v>
      </c>
      <c r="AG407" s="47" t="n">
        <f aca="false">AF407-AF408</f>
        <v>0</v>
      </c>
      <c r="AH407" s="47" t="n">
        <f aca="false">AG407-AG408</f>
        <v>0</v>
      </c>
      <c r="AI407" s="47" t="n">
        <f aca="false">AH407-AH408</f>
        <v>0</v>
      </c>
      <c r="AJ407" s="47" t="n">
        <f aca="false">AI407-AI408</f>
        <v>0</v>
      </c>
      <c r="AK407" s="47" t="n">
        <f aca="false">AJ407-AJ408</f>
        <v>0</v>
      </c>
    </row>
    <row r="408" customFormat="false" ht="15" hidden="false" customHeight="false" outlineLevel="0" collapsed="false">
      <c r="A408" s="10" t="s">
        <v>581</v>
      </c>
      <c r="H408" s="47" t="n">
        <f aca="false">MIN(H407,Inputs!$B$35*H406,1E+099)</f>
        <v>0</v>
      </c>
      <c r="I408" s="47" t="n">
        <f aca="false">MIN(I407,Inputs!$B$35*I406,1E+099)</f>
        <v>0</v>
      </c>
      <c r="J408" s="47" t="n">
        <f aca="false">MIN(J407,Inputs!$B$35*J406,1E+099)</f>
        <v>0</v>
      </c>
      <c r="K408" s="47" t="n">
        <f aca="false">MIN(K407,Inputs!$B$35*K406,1E+099)</f>
        <v>0</v>
      </c>
      <c r="L408" s="47" t="n">
        <f aca="false">MIN(L407,Inputs!$B$35*L406,1E+099)</f>
        <v>0</v>
      </c>
      <c r="M408" s="47" t="n">
        <f aca="false">MIN(M407,Inputs!$B$35*M406,1E+099)</f>
        <v>0</v>
      </c>
      <c r="N408" s="47" t="n">
        <f aca="false">MIN(N407,Inputs!$B$35*N406,1E+099)</f>
        <v>0</v>
      </c>
      <c r="O408" s="47" t="n">
        <f aca="false">MIN(O407,Inputs!$B$35*O406,1E+099)</f>
        <v>0</v>
      </c>
      <c r="P408" s="47" t="n">
        <f aca="false">MIN(P407,Inputs!$B$35*P406,1E+099)</f>
        <v>0</v>
      </c>
      <c r="Q408" s="47" t="n">
        <f aca="false">MIN(Q407,Inputs!$B$35*Q406,1E+099)</f>
        <v>0</v>
      </c>
      <c r="R408" s="47" t="n">
        <f aca="false">MIN(R407,Inputs!$B$35*R406,1E+099)</f>
        <v>0</v>
      </c>
      <c r="S408" s="47" t="n">
        <f aca="false">MIN(S407,Inputs!$B$35*S406,1E+099)</f>
        <v>0</v>
      </c>
      <c r="T408" s="47" t="n">
        <f aca="false">MIN(T407,Inputs!$B$35*T406,1E+099)</f>
        <v>0</v>
      </c>
      <c r="U408" s="47" t="n">
        <f aca="false">MIN(U407,Inputs!$B$35*U406,1E+099)</f>
        <v>0</v>
      </c>
      <c r="V408" s="47" t="n">
        <f aca="false">MIN(V407,Inputs!$B$35*V406,1E+099)</f>
        <v>0</v>
      </c>
      <c r="W408" s="47" t="n">
        <f aca="false">MIN(W407,Inputs!$B$35*W406,1E+099)</f>
        <v>0</v>
      </c>
      <c r="X408" s="47" t="n">
        <f aca="false">MIN(X407,Inputs!$B$35*X406,1E+099)</f>
        <v>0</v>
      </c>
      <c r="Y408" s="47" t="n">
        <f aca="false">MIN(Y407,Inputs!$B$35*Y406,1E+099)</f>
        <v>0</v>
      </c>
      <c r="Z408" s="47" t="n">
        <f aca="false">MIN(Z407,Inputs!$B$35*Z406,1E+099)</f>
        <v>0</v>
      </c>
      <c r="AA408" s="47" t="n">
        <f aca="false">MIN(AA407,Inputs!$B$35*AA406,1E+099)</f>
        <v>0</v>
      </c>
      <c r="AB408" s="47" t="n">
        <f aca="false">MIN(AB407,Inputs!$B$35*AB406,1E+099)</f>
        <v>0</v>
      </c>
      <c r="AC408" s="47" t="n">
        <f aca="false">MIN(AC407,Inputs!$B$35*AC406,1E+099)</f>
        <v>0</v>
      </c>
      <c r="AD408" s="47" t="n">
        <f aca="false">MIN(AD407,Inputs!$B$35*AD406,1E+099)</f>
        <v>0</v>
      </c>
      <c r="AE408" s="47" t="n">
        <f aca="false">MIN(AE407,Inputs!$B$35*AE406,1E+099)</f>
        <v>0</v>
      </c>
      <c r="AF408" s="47" t="n">
        <f aca="false">MIN(AF407,Inputs!$B$35*AF406,1E+099)</f>
        <v>0</v>
      </c>
      <c r="AG408" s="47" t="n">
        <f aca="false">MIN(AG407,Inputs!$B$35*AG406,1E+099)</f>
        <v>0</v>
      </c>
      <c r="AH408" s="47" t="n">
        <f aca="false">MIN(AH407,Inputs!$B$35*AH406,1E+099)</f>
        <v>0</v>
      </c>
      <c r="AI408" s="47" t="n">
        <f aca="false">MIN(AI407,Inputs!$B$35*AI406,1E+099)</f>
        <v>0</v>
      </c>
      <c r="AJ408" s="47" t="n">
        <f aca="false">MIN(AJ407,Inputs!$B$35*AJ406,1E+099)</f>
        <v>0</v>
      </c>
      <c r="AK408" s="47" t="n">
        <f aca="false">MIN(AK407,Inputs!$B$35*AK406,1E+099)</f>
        <v>0</v>
      </c>
    </row>
    <row r="409" customFormat="false" ht="15" hidden="false" customHeight="false" outlineLevel="0" collapsed="false">
      <c r="A409" s="10" t="s">
        <v>582</v>
      </c>
      <c r="G409" s="47" t="n">
        <f aca="false">$F$359</f>
        <v>0</v>
      </c>
      <c r="H409" s="47" t="n">
        <f aca="false">G409</f>
        <v>0</v>
      </c>
      <c r="I409" s="47" t="n">
        <f aca="false">H409-H410</f>
        <v>0</v>
      </c>
      <c r="J409" s="47" t="n">
        <f aca="false">I409-I410</f>
        <v>0</v>
      </c>
      <c r="K409" s="47" t="n">
        <f aca="false">J409-J410</f>
        <v>0</v>
      </c>
      <c r="L409" s="47" t="n">
        <f aca="false">K409-K410</f>
        <v>0</v>
      </c>
      <c r="M409" s="47" t="n">
        <f aca="false">L409-L410</f>
        <v>0</v>
      </c>
      <c r="N409" s="47" t="n">
        <f aca="false">M409-M410</f>
        <v>0</v>
      </c>
      <c r="O409" s="47" t="n">
        <f aca="false">N409-N410</f>
        <v>0</v>
      </c>
      <c r="P409" s="47" t="n">
        <f aca="false">O409-O410</f>
        <v>0</v>
      </c>
      <c r="Q409" s="47" t="n">
        <f aca="false">P409-P410</f>
        <v>0</v>
      </c>
      <c r="R409" s="47" t="n">
        <f aca="false">Q409-Q410</f>
        <v>0</v>
      </c>
      <c r="S409" s="47" t="n">
        <f aca="false">R409-R410</f>
        <v>0</v>
      </c>
      <c r="T409" s="47" t="n">
        <f aca="false">S409-S410</f>
        <v>0</v>
      </c>
      <c r="U409" s="47" t="n">
        <f aca="false">T409-T410</f>
        <v>0</v>
      </c>
      <c r="V409" s="47" t="n">
        <f aca="false">U409-U410</f>
        <v>0</v>
      </c>
      <c r="W409" s="47" t="n">
        <f aca="false">V409-V410</f>
        <v>0</v>
      </c>
      <c r="X409" s="47" t="n">
        <f aca="false">W409-W410</f>
        <v>0</v>
      </c>
      <c r="Y409" s="47" t="n">
        <f aca="false">X409-X410</f>
        <v>0</v>
      </c>
      <c r="Z409" s="47" t="n">
        <f aca="false">Y409-Y410</f>
        <v>0</v>
      </c>
      <c r="AA409" s="47" t="n">
        <f aca="false">Z409-Z410</f>
        <v>0</v>
      </c>
      <c r="AB409" s="47" t="n">
        <f aca="false">AA409-AA410</f>
        <v>0</v>
      </c>
      <c r="AC409" s="47" t="n">
        <f aca="false">AB409-AB410</f>
        <v>0</v>
      </c>
      <c r="AD409" s="47" t="n">
        <f aca="false">AC409-AC410</f>
        <v>0</v>
      </c>
      <c r="AE409" s="47" t="n">
        <f aca="false">AD409-AD410</f>
        <v>0</v>
      </c>
      <c r="AF409" s="47" t="n">
        <f aca="false">AE409-AE410</f>
        <v>0</v>
      </c>
      <c r="AG409" s="47" t="n">
        <f aca="false">AF409-AF410</f>
        <v>0</v>
      </c>
      <c r="AH409" s="47" t="n">
        <f aca="false">AG409-AG410</f>
        <v>0</v>
      </c>
      <c r="AI409" s="47" t="n">
        <f aca="false">AH409-AH410</f>
        <v>0</v>
      </c>
      <c r="AJ409" s="47" t="n">
        <f aca="false">AI409-AI410</f>
        <v>0</v>
      </c>
      <c r="AK409" s="47" t="n">
        <f aca="false">AJ409-AJ410</f>
        <v>0</v>
      </c>
    </row>
    <row r="410" customFormat="false" ht="15" hidden="false" customHeight="false" outlineLevel="0" collapsed="false">
      <c r="A410" s="10" t="s">
        <v>576</v>
      </c>
      <c r="H410" s="47" t="n">
        <f aca="false">MIN(H409,Inputs!$B$35*H406-H408)</f>
        <v>0</v>
      </c>
      <c r="I410" s="47" t="n">
        <f aca="false">MIN(I409,Inputs!$B$35*I406-I408)</f>
        <v>0</v>
      </c>
      <c r="J410" s="47" t="n">
        <f aca="false">MIN(J409,Inputs!$B$35*J406-J408)</f>
        <v>0</v>
      </c>
      <c r="K410" s="47" t="n">
        <f aca="false">MIN(K409,Inputs!$B$35*K406-K408)</f>
        <v>0</v>
      </c>
      <c r="L410" s="47" t="n">
        <f aca="false">MIN(L409,Inputs!$B$35*L406-L408)</f>
        <v>0</v>
      </c>
      <c r="M410" s="47" t="n">
        <f aca="false">MIN(M409,Inputs!$B$35*M406-M408)</f>
        <v>0</v>
      </c>
      <c r="N410" s="47" t="n">
        <f aca="false">MIN(N409,Inputs!$B$35*N406-N408)</f>
        <v>0</v>
      </c>
      <c r="O410" s="47" t="n">
        <f aca="false">MIN(O409,Inputs!$B$35*O406-O408)</f>
        <v>0</v>
      </c>
      <c r="P410" s="47" t="n">
        <f aca="false">MIN(P409,Inputs!$B$35*P406-P408)</f>
        <v>0</v>
      </c>
      <c r="Q410" s="47" t="n">
        <f aca="false">MIN(Q409,Inputs!$B$35*Q406-Q408)</f>
        <v>0</v>
      </c>
      <c r="R410" s="47" t="n">
        <f aca="false">MIN(R409,Inputs!$B$35*R406-R408)</f>
        <v>0</v>
      </c>
      <c r="S410" s="47" t="n">
        <f aca="false">MIN(S409,Inputs!$B$35*S406-S408)</f>
        <v>0</v>
      </c>
      <c r="T410" s="47" t="n">
        <f aca="false">MIN(T409,Inputs!$B$35*T406-T408)</f>
        <v>0</v>
      </c>
      <c r="U410" s="47" t="n">
        <f aca="false">MIN(U409,Inputs!$B$35*U406-U408)</f>
        <v>0</v>
      </c>
      <c r="V410" s="47" t="n">
        <f aca="false">MIN(V409,Inputs!$B$35*V406-V408)</f>
        <v>0</v>
      </c>
      <c r="W410" s="47" t="n">
        <f aca="false">MIN(W409,Inputs!$B$35*W406-W408)</f>
        <v>0</v>
      </c>
      <c r="X410" s="47" t="n">
        <f aca="false">MIN(X409,Inputs!$B$35*X406-X408)</f>
        <v>0</v>
      </c>
      <c r="Y410" s="47" t="n">
        <f aca="false">MIN(Y409,Inputs!$B$35*Y406-Y408)</f>
        <v>0</v>
      </c>
      <c r="Z410" s="47" t="n">
        <f aca="false">MIN(Z409,Inputs!$B$35*Z406-Z408)</f>
        <v>0</v>
      </c>
      <c r="AA410" s="47" t="n">
        <f aca="false">MIN(AA409,Inputs!$B$35*AA406-AA408)</f>
        <v>0</v>
      </c>
      <c r="AB410" s="47" t="n">
        <f aca="false">MIN(AB409,Inputs!$B$35*AB406-AB408)</f>
        <v>0</v>
      </c>
      <c r="AC410" s="47" t="n">
        <f aca="false">MIN(AC409,Inputs!$B$35*AC406-AC408)</f>
        <v>0</v>
      </c>
      <c r="AD410" s="47" t="n">
        <f aca="false">MIN(AD409,Inputs!$B$35*AD406-AD408)</f>
        <v>0</v>
      </c>
      <c r="AE410" s="47" t="n">
        <f aca="false">MIN(AE409,Inputs!$B$35*AE406-AE408)</f>
        <v>0</v>
      </c>
      <c r="AF410" s="47" t="n">
        <f aca="false">MIN(AF409,Inputs!$B$35*AF406-AF408)</f>
        <v>0</v>
      </c>
      <c r="AG410" s="47" t="n">
        <f aca="false">MIN(AG409,Inputs!$B$35*AG406-AG408)</f>
        <v>0</v>
      </c>
      <c r="AH410" s="47" t="n">
        <f aca="false">MIN(AH409,Inputs!$B$35*AH406-AH408)</f>
        <v>0</v>
      </c>
      <c r="AI410" s="47" t="n">
        <f aca="false">MIN(AI409,Inputs!$B$35*AI406-AI408)</f>
        <v>0</v>
      </c>
      <c r="AJ410" s="47" t="n">
        <f aca="false">MIN(AJ409,Inputs!$B$35*AJ406-AJ408)</f>
        <v>0</v>
      </c>
      <c r="AK410" s="47" t="n">
        <f aca="false">MIN(AK409,Inputs!$B$35*AK406-AK408)</f>
        <v>0</v>
      </c>
    </row>
    <row r="411" customFormat="false" ht="15" hidden="false" customHeight="false" outlineLevel="0" collapsed="false">
      <c r="A411" s="10" t="s">
        <v>583</v>
      </c>
      <c r="H411" s="47" t="n">
        <f aca="false">(H406-H408-H410)*Inputs!$B$33</f>
        <v>15.9203707719674</v>
      </c>
      <c r="I411" s="47" t="n">
        <f aca="false">(I406-I408-I410)*Inputs!$B$33</f>
        <v>15.9203707719674</v>
      </c>
      <c r="J411" s="47" t="n">
        <f aca="false">(J406-J408-J410)*Inputs!$B$33</f>
        <v>15.9203707719674</v>
      </c>
      <c r="K411" s="47" t="n">
        <f aca="false">(K406-K408-K410)*Inputs!$B$33</f>
        <v>15.9203707719674</v>
      </c>
      <c r="L411" s="47" t="n">
        <f aca="false">(L406-L408-L410)*Inputs!$B$33</f>
        <v>15.9203707719674</v>
      </c>
      <c r="M411" s="47" t="n">
        <f aca="false">(M406-M408-M410)*Inputs!$B$33</f>
        <v>15.9203707719674</v>
      </c>
      <c r="N411" s="47" t="n">
        <f aca="false">(N406-N408-N410)*Inputs!$B$33</f>
        <v>15.9203707719674</v>
      </c>
      <c r="O411" s="47" t="n">
        <f aca="false">(O406-O408-O410)*Inputs!$B$33</f>
        <v>15.9203707719674</v>
      </c>
      <c r="P411" s="47" t="n">
        <f aca="false">(P406-P408-P410)*Inputs!$B$33</f>
        <v>15.9203707719674</v>
      </c>
      <c r="Q411" s="47" t="n">
        <f aca="false">(Q406-Q408-Q410)*Inputs!$B$33</f>
        <v>15.9203707719674</v>
      </c>
      <c r="R411" s="47" t="n">
        <f aca="false">(R406-R408-R410)*Inputs!$B$33</f>
        <v>15.9203707719674</v>
      </c>
      <c r="S411" s="47" t="n">
        <f aca="false">(S406-S408-S410)*Inputs!$B$33</f>
        <v>15.9203707719674</v>
      </c>
      <c r="T411" s="47" t="n">
        <f aca="false">(T406-T408-T410)*Inputs!$B$33</f>
        <v>15.9203707719674</v>
      </c>
      <c r="U411" s="47" t="n">
        <f aca="false">(U406-U408-U410)*Inputs!$B$33</f>
        <v>15.9203707719674</v>
      </c>
      <c r="V411" s="47" t="n">
        <f aca="false">(V406-V408-V410)*Inputs!$B$33</f>
        <v>15.9203707719674</v>
      </c>
      <c r="W411" s="47" t="n">
        <f aca="false">(W406-W408-W410)*Inputs!$B$33</f>
        <v>15.9203707719674</v>
      </c>
      <c r="X411" s="47" t="n">
        <f aca="false">(X406-X408-X410)*Inputs!$B$33</f>
        <v>15.9203707719674</v>
      </c>
      <c r="Y411" s="47" t="n">
        <f aca="false">(Y406-Y408-Y410)*Inputs!$B$33</f>
        <v>15.9203707719674</v>
      </c>
      <c r="Z411" s="47" t="n">
        <f aca="false">(Z406-Z408-Z410)*Inputs!$B$33</f>
        <v>15.9203707719674</v>
      </c>
      <c r="AA411" s="47" t="n">
        <f aca="false">(AA406-AA408-AA410)*Inputs!$B$33</f>
        <v>15.9203707719674</v>
      </c>
      <c r="AB411" s="47" t="n">
        <f aca="false">(AB406-AB408-AB410)*Inputs!$B$33</f>
        <v>15.9203707719674</v>
      </c>
      <c r="AC411" s="47" t="n">
        <f aca="false">(AC406-AC408-AC410)*Inputs!$B$33</f>
        <v>15.9203707719674</v>
      </c>
      <c r="AD411" s="47" t="n">
        <f aca="false">(AD406-AD408-AD410)*Inputs!$B$33</f>
        <v>15.9203707719674</v>
      </c>
      <c r="AE411" s="47" t="n">
        <f aca="false">(AE406-AE408-AE410)*Inputs!$B$33</f>
        <v>15.9203707719674</v>
      </c>
      <c r="AF411" s="47" t="n">
        <f aca="false">(AF406-AF408-AF410)*Inputs!$B$33</f>
        <v>15.9203707719674</v>
      </c>
      <c r="AG411" s="47" t="n">
        <f aca="false">(AG406-AG408-AG410)*Inputs!$B$33</f>
        <v>15.9203707719674</v>
      </c>
      <c r="AH411" s="47" t="n">
        <f aca="false">(AH406-AH408-AH410)*Inputs!$B$33</f>
        <v>15.9203707719674</v>
      </c>
      <c r="AI411" s="47" t="n">
        <f aca="false">(AI406-AI408-AI410)*Inputs!$B$33</f>
        <v>15.9203707719674</v>
      </c>
      <c r="AJ411" s="47" t="n">
        <f aca="false">(AJ406-AJ408-AJ410)*Inputs!$B$33</f>
        <v>15.9203707719674</v>
      </c>
      <c r="AK411" s="47" t="n">
        <f aca="false">(AK406-AK408-AK410)*Inputs!$B$33</f>
        <v>15.9203707719674</v>
      </c>
    </row>
    <row r="412" customFormat="false" ht="15" hidden="false" customHeight="false" outlineLevel="0" collapsed="false">
      <c r="A412" s="10" t="s">
        <v>584</v>
      </c>
      <c r="G412" s="47" t="n">
        <f aca="false">$F$362</f>
        <v>0</v>
      </c>
      <c r="H412" s="47" t="n">
        <f aca="false">G412</f>
        <v>0</v>
      </c>
      <c r="I412" s="47" t="n">
        <f aca="false">H412-H413</f>
        <v>0</v>
      </c>
      <c r="J412" s="47" t="n">
        <f aca="false">I412-I413</f>
        <v>0</v>
      </c>
      <c r="K412" s="47" t="n">
        <f aca="false">J412-J413</f>
        <v>0</v>
      </c>
      <c r="L412" s="47" t="n">
        <f aca="false">K412-K413</f>
        <v>0</v>
      </c>
      <c r="M412" s="47" t="n">
        <f aca="false">L412-L413</f>
        <v>0</v>
      </c>
      <c r="N412" s="47" t="n">
        <f aca="false">M412-M413</f>
        <v>0</v>
      </c>
      <c r="O412" s="47" t="n">
        <f aca="false">N412-N413</f>
        <v>0</v>
      </c>
      <c r="P412" s="47" t="n">
        <f aca="false">O412-O413</f>
        <v>0</v>
      </c>
      <c r="Q412" s="47" t="n">
        <f aca="false">P412-P413</f>
        <v>0</v>
      </c>
      <c r="R412" s="47" t="n">
        <f aca="false">Q412-Q413</f>
        <v>0</v>
      </c>
      <c r="S412" s="47" t="n">
        <f aca="false">R412-R413</f>
        <v>0</v>
      </c>
      <c r="T412" s="47" t="n">
        <f aca="false">S412-S413</f>
        <v>0</v>
      </c>
      <c r="U412" s="47" t="n">
        <f aca="false">T412-T413</f>
        <v>0</v>
      </c>
      <c r="V412" s="47" t="n">
        <f aca="false">U412-U413</f>
        <v>0</v>
      </c>
      <c r="W412" s="47" t="n">
        <f aca="false">V412-V413</f>
        <v>0</v>
      </c>
      <c r="X412" s="47" t="n">
        <f aca="false">W412-W413</f>
        <v>0</v>
      </c>
      <c r="Y412" s="47" t="n">
        <f aca="false">X412-X413</f>
        <v>0</v>
      </c>
      <c r="Z412" s="47" t="n">
        <f aca="false">Y412-Y413</f>
        <v>0</v>
      </c>
      <c r="AA412" s="47" t="n">
        <f aca="false">Z412-Z413</f>
        <v>0</v>
      </c>
      <c r="AB412" s="47" t="n">
        <f aca="false">AA412-AA413</f>
        <v>0</v>
      </c>
      <c r="AC412" s="47" t="n">
        <f aca="false">AB412-AB413</f>
        <v>0</v>
      </c>
      <c r="AD412" s="47" t="n">
        <f aca="false">AC412-AC413</f>
        <v>0</v>
      </c>
      <c r="AE412" s="47" t="n">
        <f aca="false">AD412-AD413</f>
        <v>0</v>
      </c>
      <c r="AF412" s="47" t="n">
        <f aca="false">AE412-AE413</f>
        <v>0</v>
      </c>
      <c r="AG412" s="47" t="n">
        <f aca="false">AF412-AF413</f>
        <v>0</v>
      </c>
      <c r="AH412" s="47" t="n">
        <f aca="false">AG412-AG413</f>
        <v>0</v>
      </c>
      <c r="AI412" s="47" t="n">
        <f aca="false">AH412-AH413</f>
        <v>0</v>
      </c>
      <c r="AJ412" s="47" t="n">
        <f aca="false">AI412-AI413</f>
        <v>0</v>
      </c>
      <c r="AK412" s="47" t="n">
        <f aca="false">AJ412-AJ413</f>
        <v>0</v>
      </c>
    </row>
    <row r="413" customFormat="false" ht="15" hidden="false" customHeight="false" outlineLevel="0" collapsed="false">
      <c r="A413" s="10" t="s">
        <v>585</v>
      </c>
      <c r="H413" s="47" t="n">
        <f aca="false">IF(1&lt;=Inputs!$B$43,MIN(H412,H411,MAX(0,1E+099-H408)*Inputs!$B$33),0)</f>
        <v>0</v>
      </c>
      <c r="I413" s="47" t="n">
        <f aca="false">IF(2&lt;=Inputs!$B$43,MIN(I412,I411,MAX(0,1E+099-I408)*Inputs!$B$33),0)</f>
        <v>0</v>
      </c>
      <c r="J413" s="47" t="n">
        <f aca="false">IF(3&lt;=Inputs!$B$43,MIN(J412,J411,MAX(0,1E+099-J408)*Inputs!$B$33),0)</f>
        <v>0</v>
      </c>
      <c r="K413" s="47" t="n">
        <f aca="false">IF(4&lt;=Inputs!$B$43,MIN(K412,K411,MAX(0,1E+099-K408)*Inputs!$B$33),0)</f>
        <v>0</v>
      </c>
      <c r="L413" s="47" t="n">
        <f aca="false">IF(5&lt;=Inputs!$B$43,MIN(L412,L411,MAX(0,1E+099-L408)*Inputs!$B$33),0)</f>
        <v>0</v>
      </c>
      <c r="M413" s="47" t="n">
        <f aca="false">IF(6&lt;=Inputs!$B$43,MIN(M412,M411,MAX(0,1E+099-M408)*Inputs!$B$33),0)</f>
        <v>0</v>
      </c>
      <c r="N413" s="47" t="n">
        <f aca="false">IF(7&lt;=Inputs!$B$43,MIN(N412,N411,MAX(0,1E+099-N408)*Inputs!$B$33),0)</f>
        <v>0</v>
      </c>
      <c r="O413" s="47" t="n">
        <f aca="false">IF(8&lt;=Inputs!$B$43,MIN(O412,O411,MAX(0,1E+099-O408)*Inputs!$B$33),0)</f>
        <v>0</v>
      </c>
      <c r="P413" s="47" t="n">
        <f aca="false">IF(9&lt;=Inputs!$B$43,MIN(P412,P411,MAX(0,1E+099-P408)*Inputs!$B$33),0)</f>
        <v>0</v>
      </c>
      <c r="Q413" s="47" t="n">
        <f aca="false">IF(10&lt;=Inputs!$B$43,MIN(Q412,Q411,MAX(0,1E+099-Q408)*Inputs!$B$33),0)</f>
        <v>0</v>
      </c>
      <c r="R413" s="47" t="n">
        <f aca="false">IF(11&lt;=Inputs!$B$43,MIN(R412,R411,MAX(0,1E+099-R408)*Inputs!$B$33),0)</f>
        <v>0</v>
      </c>
      <c r="S413" s="47" t="n">
        <f aca="false">IF(12&lt;=Inputs!$B$43,MIN(S412,S411,MAX(0,1E+099-S408)*Inputs!$B$33),0)</f>
        <v>0</v>
      </c>
      <c r="T413" s="47" t="n">
        <f aca="false">IF(13&lt;=Inputs!$B$43,MIN(T412,T411,MAX(0,1E+099-T408)*Inputs!$B$33),0)</f>
        <v>0</v>
      </c>
      <c r="U413" s="47" t="n">
        <f aca="false">IF(14&lt;=Inputs!$B$43,MIN(U412,U411,MAX(0,1E+099-U408)*Inputs!$B$33),0)</f>
        <v>0</v>
      </c>
      <c r="V413" s="47" t="n">
        <f aca="false">IF(15&lt;=Inputs!$B$43,MIN(V412,V411,MAX(0,1E+099-V408)*Inputs!$B$33),0)</f>
        <v>0</v>
      </c>
      <c r="W413" s="47" t="n">
        <f aca="false">IF(16&lt;=Inputs!$B$43,MIN(W412,W411,MAX(0,1E+099-W408)*Inputs!$B$33),0)</f>
        <v>0</v>
      </c>
      <c r="X413" s="47" t="n">
        <f aca="false">IF(17&lt;=Inputs!$B$43,MIN(X412,X411,MAX(0,1E+099-X408)*Inputs!$B$33),0)</f>
        <v>0</v>
      </c>
      <c r="Y413" s="47" t="n">
        <f aca="false">IF(18&lt;=Inputs!$B$43,MIN(Y412,Y411,MAX(0,1E+099-Y408)*Inputs!$B$33),0)</f>
        <v>0</v>
      </c>
      <c r="Z413" s="47" t="n">
        <f aca="false">IF(19&lt;=Inputs!$B$43,MIN(Z412,Z411,MAX(0,1E+099-Z408)*Inputs!$B$33),0)</f>
        <v>0</v>
      </c>
      <c r="AA413" s="47" t="n">
        <f aca="false">IF(20&lt;=Inputs!$B$43,MIN(AA412,AA411,MAX(0,1E+099-AA408)*Inputs!$B$33),0)</f>
        <v>0</v>
      </c>
      <c r="AB413" s="47" t="n">
        <f aca="false">IF(21&lt;=Inputs!$B$43,MIN(AB412,AB411,MAX(0,1E+099-AB408)*Inputs!$B$33),0)</f>
        <v>0</v>
      </c>
      <c r="AC413" s="47" t="n">
        <f aca="false">IF(22&lt;=Inputs!$B$43,MIN(AC412,AC411,MAX(0,1E+099-AC408)*Inputs!$B$33),0)</f>
        <v>0</v>
      </c>
      <c r="AD413" s="47" t="n">
        <f aca="false">IF(23&lt;=Inputs!$B$43,MIN(AD412,AD411,MAX(0,1E+099-AD408)*Inputs!$B$33),0)</f>
        <v>0</v>
      </c>
      <c r="AE413" s="47" t="n">
        <f aca="false">IF(24&lt;=Inputs!$B$43,MIN(AE412,AE411,MAX(0,1E+099-AE408)*Inputs!$B$33),0)</f>
        <v>0</v>
      </c>
      <c r="AF413" s="47" t="n">
        <f aca="false">IF(25&lt;=Inputs!$B$43,MIN(AF412,AF411,MAX(0,1E+099-AF408)*Inputs!$B$33),0)</f>
        <v>0</v>
      </c>
      <c r="AG413" s="47" t="n">
        <f aca="false">IF(26&lt;=Inputs!$B$43,MIN(AG412,AG411,MAX(0,1E+099-AG408)*Inputs!$B$33),0)</f>
        <v>0</v>
      </c>
      <c r="AH413" s="47" t="n">
        <f aca="false">IF(27&lt;=Inputs!$B$43,MIN(AH412,AH411,MAX(0,1E+099-AH408)*Inputs!$B$33),0)</f>
        <v>0</v>
      </c>
      <c r="AI413" s="47" t="n">
        <f aca="false">IF(28&lt;=Inputs!$B$43,MIN(AI412,AI411,MAX(0,1E+099-AI408)*Inputs!$B$33),0)</f>
        <v>0</v>
      </c>
      <c r="AJ413" s="47" t="n">
        <f aca="false">IF(29&lt;=Inputs!$B$43,MIN(AJ412,AJ411,MAX(0,1E+099-AJ408)*Inputs!$B$33),0)</f>
        <v>0</v>
      </c>
      <c r="AK413" s="47" t="n">
        <f aca="false">IF(30&lt;=Inputs!$B$43,MIN(AK412,AK411,MAX(0,1E+099-AK408)*Inputs!$B$33),0)</f>
        <v>0</v>
      </c>
    </row>
    <row r="414" customFormat="false" ht="15" hidden="false" customHeight="false" outlineLevel="0" collapsed="false">
      <c r="A414" s="10" t="s">
        <v>586</v>
      </c>
      <c r="H414" s="47" t="n">
        <f aca="false">($B$399*Inputs!$B$34+($B$399-$B$399*Inputs!$B$34)*Inputs!$B$33)-(H405+H411-H413)</f>
        <v>0</v>
      </c>
      <c r="I414" s="47" t="n">
        <f aca="false">($B$399*Inputs!$B$34+($B$399-$B$399*Inputs!$B$34)*Inputs!$B$33)-(I405+I411-I413)</f>
        <v>0</v>
      </c>
      <c r="J414" s="47" t="n">
        <f aca="false">($B$399*Inputs!$B$34+($B$399-$B$399*Inputs!$B$34)*Inputs!$B$33)-(J405+J411-J413)</f>
        <v>0</v>
      </c>
      <c r="K414" s="47" t="n">
        <f aca="false">($B$399*Inputs!$B$34+($B$399-$B$399*Inputs!$B$34)*Inputs!$B$33)-(K405+K411-K413)</f>
        <v>0</v>
      </c>
      <c r="L414" s="47" t="n">
        <f aca="false">($B$399*Inputs!$B$34+($B$399-$B$399*Inputs!$B$34)*Inputs!$B$33)-(L405+L411-L413)</f>
        <v>0</v>
      </c>
      <c r="M414" s="47" t="n">
        <f aca="false">($B$399*Inputs!$B$34+($B$399-$B$399*Inputs!$B$34)*Inputs!$B$33)-(M405+M411-M413)</f>
        <v>0</v>
      </c>
      <c r="N414" s="47" t="n">
        <f aca="false">($B$399*Inputs!$B$34+($B$399-$B$399*Inputs!$B$34)*Inputs!$B$33)-(N405+N411-N413)</f>
        <v>0</v>
      </c>
      <c r="O414" s="47" t="n">
        <f aca="false">($B$399*Inputs!$B$34+($B$399-$B$399*Inputs!$B$34)*Inputs!$B$33)-(O405+O411-O413)</f>
        <v>0</v>
      </c>
      <c r="P414" s="47" t="n">
        <f aca="false">($B$399*Inputs!$B$34+($B$399-$B$399*Inputs!$B$34)*Inputs!$B$33)-(P405+P411-P413)</f>
        <v>0</v>
      </c>
      <c r="Q414" s="47" t="n">
        <f aca="false">($B$399*Inputs!$B$34+($B$399-$B$399*Inputs!$B$34)*Inputs!$B$33)-(Q405+Q411-Q413)</f>
        <v>0</v>
      </c>
      <c r="R414" s="47" t="n">
        <f aca="false">($B$399*Inputs!$B$34+($B$399-$B$399*Inputs!$B$34)*Inputs!$B$33)-(R405+R411-R413)</f>
        <v>0</v>
      </c>
      <c r="S414" s="47" t="n">
        <f aca="false">($B$399*Inputs!$B$34+($B$399-$B$399*Inputs!$B$34)*Inputs!$B$33)-(S405+S411-S413)</f>
        <v>0</v>
      </c>
      <c r="T414" s="47" t="n">
        <f aca="false">($B$399*Inputs!$B$34+($B$399-$B$399*Inputs!$B$34)*Inputs!$B$33)-(T405+T411-T413)</f>
        <v>0</v>
      </c>
      <c r="U414" s="47" t="n">
        <f aca="false">($B$399*Inputs!$B$34+($B$399-$B$399*Inputs!$B$34)*Inputs!$B$33)-(U405+U411-U413)</f>
        <v>0</v>
      </c>
      <c r="V414" s="47" t="n">
        <f aca="false">($B$399*Inputs!$B$34+($B$399-$B$399*Inputs!$B$34)*Inputs!$B$33)-(V405+V411-V413)</f>
        <v>0</v>
      </c>
      <c r="W414" s="47" t="n">
        <f aca="false">($B$399*Inputs!$B$34+($B$399-$B$399*Inputs!$B$34)*Inputs!$B$33)-(W405+W411-W413)</f>
        <v>0</v>
      </c>
      <c r="X414" s="47" t="n">
        <f aca="false">($B$399*Inputs!$B$34+($B$399-$B$399*Inputs!$B$34)*Inputs!$B$33)-(X405+X411-X413)</f>
        <v>0</v>
      </c>
      <c r="Y414" s="47" t="n">
        <f aca="false">($B$399*Inputs!$B$34+($B$399-$B$399*Inputs!$B$34)*Inputs!$B$33)-(Y405+Y411-Y413)</f>
        <v>0</v>
      </c>
      <c r="Z414" s="47" t="n">
        <f aca="false">($B$399*Inputs!$B$34+($B$399-$B$399*Inputs!$B$34)*Inputs!$B$33)-(Z405+Z411-Z413)</f>
        <v>0</v>
      </c>
      <c r="AA414" s="47" t="n">
        <f aca="false">($B$399*Inputs!$B$34+($B$399-$B$399*Inputs!$B$34)*Inputs!$B$33)-(AA405+AA411-AA413)</f>
        <v>0</v>
      </c>
      <c r="AB414" s="47" t="n">
        <f aca="false">($B$399*Inputs!$B$34+($B$399-$B$399*Inputs!$B$34)*Inputs!$B$33)-(AB405+AB411-AB413)</f>
        <v>0</v>
      </c>
      <c r="AC414" s="47" t="n">
        <f aca="false">($B$399*Inputs!$B$34+($B$399-$B$399*Inputs!$B$34)*Inputs!$B$33)-(AC405+AC411-AC413)</f>
        <v>0</v>
      </c>
      <c r="AD414" s="47" t="n">
        <f aca="false">($B$399*Inputs!$B$34+($B$399-$B$399*Inputs!$B$34)*Inputs!$B$33)-(AD405+AD411-AD413)</f>
        <v>0</v>
      </c>
      <c r="AE414" s="47" t="n">
        <f aca="false">($B$399*Inputs!$B$34+($B$399-$B$399*Inputs!$B$34)*Inputs!$B$33)-(AE405+AE411-AE413)</f>
        <v>0</v>
      </c>
      <c r="AF414" s="47" t="n">
        <f aca="false">($B$399*Inputs!$B$34+($B$399-$B$399*Inputs!$B$34)*Inputs!$B$33)-(AF405+AF411-AF413)</f>
        <v>0</v>
      </c>
      <c r="AG414" s="47" t="n">
        <f aca="false">($B$399*Inputs!$B$34+($B$399-$B$399*Inputs!$B$34)*Inputs!$B$33)-(AG405+AG411-AG413)</f>
        <v>0</v>
      </c>
      <c r="AH414" s="47" t="n">
        <f aca="false">($B$399*Inputs!$B$34+($B$399-$B$399*Inputs!$B$34)*Inputs!$B$33)-(AH405+AH411-AH413)</f>
        <v>0</v>
      </c>
      <c r="AI414" s="47" t="n">
        <f aca="false">($B$399*Inputs!$B$34+($B$399-$B$399*Inputs!$B$34)*Inputs!$B$33)-(AI405+AI411-AI413)</f>
        <v>0</v>
      </c>
      <c r="AJ414" s="47" t="n">
        <f aca="false">($B$399*Inputs!$B$34+($B$399-$B$399*Inputs!$B$34)*Inputs!$B$33)-(AJ405+AJ411-AJ413)</f>
        <v>0</v>
      </c>
      <c r="AK414" s="47" t="n">
        <f aca="false">($B$399*Inputs!$B$34+($B$399-$B$399*Inputs!$B$34)*Inputs!$B$33)-(AK405+AK411-AK413)</f>
        <v>0</v>
      </c>
    </row>
    <row r="415" customFormat="false" ht="15" hidden="false" customHeight="false" outlineLevel="0" collapsed="false">
      <c r="A415" s="10" t="s">
        <v>587</v>
      </c>
      <c r="B415" s="47" t="n">
        <f aca="false">SUMPRODUCT($H$414:$AK$414,$H$400:$AK$400)</f>
        <v>0</v>
      </c>
    </row>
    <row r="416" customFormat="false" ht="15" hidden="false" customHeight="false" outlineLevel="0" collapsed="false">
      <c r="A416" s="10" t="s">
        <v>588</v>
      </c>
      <c r="B416" s="47" t="n">
        <f aca="false">Inputs!$B$42*$B$415*$F$527</f>
        <v>0</v>
      </c>
    </row>
    <row r="417" customFormat="false" ht="15" hidden="false" customHeight="false" outlineLevel="0" collapsed="false">
      <c r="A417" s="10" t="s">
        <v>589</v>
      </c>
      <c r="B417" s="47" t="n">
        <f aca="false">$B$383</f>
        <v>32.8666884422111</v>
      </c>
    </row>
    <row r="418" customFormat="false" ht="15" hidden="false" customHeight="false" outlineLevel="0" collapsed="false">
      <c r="A418" s="10" t="s">
        <v>590</v>
      </c>
      <c r="B418" s="47" t="n">
        <f aca="false">Inputs!$B$18*IF(ISNUMBER($B$110),$B$110,Inputs!$B$12)</f>
        <v>1.20076658132288</v>
      </c>
    </row>
    <row r="419" customFormat="false" ht="15" hidden="false" customHeight="false" outlineLevel="0" collapsed="false">
      <c r="A419" s="10" t="s">
        <v>591</v>
      </c>
      <c r="B419" s="47" t="n">
        <f aca="false">SUMPRODUCT($C$378:$F$378,$C$527:$F$527)</f>
        <v>0</v>
      </c>
    </row>
    <row r="420" customFormat="false" ht="15" hidden="false" customHeight="false" outlineLevel="0" collapsed="false">
      <c r="A420" s="13" t="s">
        <v>592</v>
      </c>
      <c r="B420" s="18" t="n">
        <f aca="false">$B$398+$B$416+$B$417+$B$418-$B$419</f>
        <v>1486.08216162234</v>
      </c>
    </row>
    <row r="421" customFormat="false" ht="15" hidden="false" customHeight="false" outlineLevel="0" collapsed="false">
      <c r="A421" s="10" t="s">
        <v>593</v>
      </c>
      <c r="B421" s="25" t="n">
        <f aca="false">Historicals!$B$89+Inputs!$B$17</f>
        <v>3.967329173</v>
      </c>
    </row>
    <row r="422" customFormat="false" ht="15" hidden="false" customHeight="false" outlineLevel="0" collapsed="false">
      <c r="A422" s="10" t="s">
        <v>594</v>
      </c>
      <c r="B422" s="32" t="n">
        <f aca="false">IFERROR(($B$420-$B$377*(1-Inputs!$B$70))/$B$421,0)</f>
        <v>374.58</v>
      </c>
    </row>
    <row r="423" customFormat="false" ht="15" hidden="false" customHeight="false" outlineLevel="0" collapsed="false">
      <c r="A423" s="10" t="s">
        <v>595</v>
      </c>
      <c r="B423" s="25" t="n">
        <f aca="false">IF($B$422&gt;0,$B$377/($B$422*(1-Inputs!$B$71)),0)</f>
        <v>0</v>
      </c>
    </row>
    <row r="424" customFormat="false" ht="15" hidden="false" customHeight="false" outlineLevel="0" collapsed="false">
      <c r="A424" s="10" t="s">
        <v>596</v>
      </c>
      <c r="B424" s="32" t="n">
        <f aca="false">IFERROR($B$420/($B$421+$B$423),0)</f>
        <v>374.58</v>
      </c>
    </row>
    <row r="425" customFormat="false" ht="15" hidden="false" customHeight="false" outlineLevel="0" collapsed="false">
      <c r="A425" s="10" t="s">
        <v>597</v>
      </c>
      <c r="B425" s="47" t="n">
        <f aca="false">SUMPRODUCT($C$377:$F$377,$C$527:$F$527)</f>
        <v>0</v>
      </c>
    </row>
    <row r="426" customFormat="false" ht="15" hidden="false" customHeight="false" outlineLevel="0" collapsed="false">
      <c r="A426" s="10" t="s">
        <v>598</v>
      </c>
      <c r="B426" s="25" t="n">
        <f aca="false">IF($B$424&gt;0,$B$423+$B$425/($B$424*(1-Inputs!$B$71)),0)</f>
        <v>0</v>
      </c>
    </row>
    <row r="427" customFormat="false" ht="15" hidden="false" customHeight="false" outlineLevel="0" collapsed="false">
      <c r="A427" s="13" t="s">
        <v>599</v>
      </c>
      <c r="B427" s="15" t="n">
        <f aca="false">IFERROR(($B$420+$B$425)/($B$421+$B$426),0)</f>
        <v>374.58</v>
      </c>
    </row>
    <row r="428" customFormat="false" ht="15" hidden="false" customHeight="false" outlineLevel="0" collapsed="false">
      <c r="A428" s="10" t="s">
        <v>600</v>
      </c>
      <c r="B428" s="49" t="str">
        <f aca="false">IF($F$385&gt;Inputs!$B$73,"Not meaningful: funding need above limit",IF(OR($B$389&lt;=0,$B$394&lt;=0),"Not meaningful: 2030 profit or cash flow negative",IF(OR($B$393&lt;=0,$B$397&lt;=0),"Not meaningful: a method gives zero or negative value",IF($B$420&lt;=0,"Not meaningful: value at or below zero","OK"))))</f>
        <v>OK</v>
      </c>
    </row>
    <row r="429" customFormat="false" ht="15" hidden="false" customHeight="false" outlineLevel="0" collapsed="false">
      <c r="A429" s="13" t="s">
        <v>601</v>
      </c>
      <c r="B429" s="15" t="n">
        <f aca="false">IF($B$428="OK",$B$427,"unresolved")</f>
        <v>374.58</v>
      </c>
    </row>
    <row r="430" customFormat="false" ht="15" hidden="false" customHeight="false" outlineLevel="0" collapsed="false">
      <c r="A430" s="10" t="s">
        <v>602</v>
      </c>
      <c r="B430" s="47" t="n">
        <f aca="false">IF(ISNUMBER($B$429),$B$429*$B$421,"unresolved")</f>
        <v>1486.08216162234</v>
      </c>
    </row>
    <row r="431" customFormat="false" ht="15" hidden="false" customHeight="false" outlineLevel="0" collapsed="false">
      <c r="A431" s="10" t="s">
        <v>603</v>
      </c>
      <c r="B431" s="47" t="n">
        <f aca="false">IFERROR($B$420-$B$377*(1-Inputs!$B$70)-$B$430,"n/a")</f>
        <v>0</v>
      </c>
    </row>
    <row r="433" customFormat="false" ht="15" hidden="false" customHeight="false" outlineLevel="0" collapsed="false">
      <c r="A433" s="8" t="s">
        <v>627</v>
      </c>
      <c r="B433" s="9" t="s">
        <v>495</v>
      </c>
      <c r="C433" s="9" t="s">
        <v>496</v>
      </c>
      <c r="D433" s="9" t="s">
        <v>497</v>
      </c>
      <c r="E433" s="9" t="s">
        <v>498</v>
      </c>
      <c r="F433" s="9" t="s">
        <v>499</v>
      </c>
    </row>
    <row r="434" customFormat="false" ht="15" hidden="false" customHeight="false" outlineLevel="0" collapsed="false">
      <c r="A434" s="10" t="s">
        <v>628</v>
      </c>
      <c r="B434" s="19" t="n">
        <f aca="false">IF(0-Inputs!$B$25&lt;0,0,INDEX(Inputs!$B$82:$F$82,1,0-Inputs!$B$25+1))*Inputs!$B$26</f>
        <v>0</v>
      </c>
      <c r="C434" s="19" t="n">
        <f aca="false">IF(1-Inputs!$B$25&lt;0,0,INDEX(Inputs!$B$82:$F$82,1,1-Inputs!$B$25+1))*Inputs!$B$26</f>
        <v>0.25</v>
      </c>
      <c r="D434" s="19" t="n">
        <f aca="false">IF(2-Inputs!$B$25&lt;0,0,INDEX(Inputs!$B$82:$F$82,1,2-Inputs!$B$25+1))*Inputs!$B$26</f>
        <v>0.5</v>
      </c>
      <c r="E434" s="19" t="n">
        <f aca="false">IF(3-Inputs!$B$25&lt;0,0,INDEX(Inputs!$B$82:$F$82,1,3-Inputs!$B$25+1))*Inputs!$B$26</f>
        <v>0.75</v>
      </c>
      <c r="F434" s="19" t="n">
        <f aca="false">IF(4-Inputs!$B$25&lt;0,0,INDEX(Inputs!$B$82:$F$82,1,4-Inputs!$B$25+1))*Inputs!$B$26</f>
        <v>1</v>
      </c>
    </row>
    <row r="435" customFormat="false" ht="15" hidden="false" customHeight="false" outlineLevel="0" collapsed="false">
      <c r="A435" s="10" t="s">
        <v>629</v>
      </c>
      <c r="B435" s="19" t="n">
        <f aca="false">IF(0-Inputs!$B$25&lt;0,0,INDEX(Inputs!$B$82:$F$82,1,0-Inputs!$B$25+1))</f>
        <v>0</v>
      </c>
      <c r="C435" s="19" t="n">
        <f aca="false">IF(1-Inputs!$B$25&lt;0,0,INDEX(Inputs!$B$82:$F$82,1,1-Inputs!$B$25+1))</f>
        <v>0.25</v>
      </c>
      <c r="D435" s="19" t="n">
        <f aca="false">IF(2-Inputs!$B$25&lt;0,0,INDEX(Inputs!$B$82:$F$82,1,2-Inputs!$B$25+1))</f>
        <v>0.5</v>
      </c>
      <c r="E435" s="19" t="n">
        <f aca="false">IF(3-Inputs!$B$25&lt;0,0,INDEX(Inputs!$B$82:$F$82,1,3-Inputs!$B$25+1))</f>
        <v>0.75</v>
      </c>
      <c r="F435" s="19" t="n">
        <f aca="false">IF(4-Inputs!$B$25&lt;0,0,INDEX(Inputs!$B$82:$F$82,1,4-Inputs!$B$25+1))</f>
        <v>1</v>
      </c>
    </row>
    <row r="436" customFormat="false" ht="15" hidden="false" customHeight="false" outlineLevel="0" collapsed="false">
      <c r="A436" s="10" t="s">
        <v>630</v>
      </c>
      <c r="B436" s="47" t="n">
        <f aca="false">Inputs!$C$155*B434</f>
        <v>0</v>
      </c>
      <c r="C436" s="47" t="n">
        <f aca="false">Inputs!$C$155*C434</f>
        <v>1.25</v>
      </c>
      <c r="D436" s="47" t="n">
        <f aca="false">Inputs!$C$155*D434</f>
        <v>2.5</v>
      </c>
      <c r="E436" s="47" t="n">
        <f aca="false">Inputs!$C$155*E434</f>
        <v>3.75</v>
      </c>
      <c r="F436" s="47" t="n">
        <f aca="false">Inputs!$C$155*F434</f>
        <v>5</v>
      </c>
    </row>
    <row r="437" customFormat="false" ht="15" hidden="false" customHeight="false" outlineLevel="0" collapsed="false">
      <c r="A437" s="10" t="s">
        <v>631</v>
      </c>
      <c r="B437" s="47" t="n">
        <f aca="false">Inputs!$C$156*B434</f>
        <v>0</v>
      </c>
      <c r="C437" s="47" t="n">
        <f aca="false">Inputs!$C$156*C434</f>
        <v>2.5</v>
      </c>
      <c r="D437" s="47" t="n">
        <f aca="false">Inputs!$C$156*D434</f>
        <v>5</v>
      </c>
      <c r="E437" s="47" t="n">
        <f aca="false">Inputs!$C$156*E434</f>
        <v>7.5</v>
      </c>
      <c r="F437" s="47" t="n">
        <f aca="false">Inputs!$C$156*F434</f>
        <v>10</v>
      </c>
    </row>
    <row r="438" customFormat="false" ht="15" hidden="false" customHeight="false" outlineLevel="0" collapsed="false">
      <c r="A438" s="10" t="s">
        <v>632</v>
      </c>
      <c r="B438" s="47" t="n">
        <f aca="false">B437*Inputs!$C$157</f>
        <v>0</v>
      </c>
      <c r="C438" s="47" t="n">
        <f aca="false">C437*Inputs!$C$157</f>
        <v>0.75</v>
      </c>
      <c r="D438" s="47" t="n">
        <f aca="false">D437*Inputs!$C$157</f>
        <v>1.5</v>
      </c>
      <c r="E438" s="47" t="n">
        <f aca="false">E437*Inputs!$C$157</f>
        <v>2.25</v>
      </c>
      <c r="F438" s="47" t="n">
        <f aca="false">F437*Inputs!$C$157</f>
        <v>3</v>
      </c>
    </row>
    <row r="439" customFormat="false" ht="15" hidden="false" customHeight="false" outlineLevel="0" collapsed="false">
      <c r="A439" s="10" t="s">
        <v>633</v>
      </c>
      <c r="B439" s="47" t="n">
        <f aca="false">Inputs!$C$158*B435</f>
        <v>0</v>
      </c>
      <c r="C439" s="47" t="n">
        <f aca="false">Inputs!$C$158*C435</f>
        <v>0</v>
      </c>
      <c r="D439" s="47" t="n">
        <f aca="false">Inputs!$C$158*D435</f>
        <v>0</v>
      </c>
      <c r="E439" s="47" t="n">
        <f aca="false">Inputs!$C$158*E435</f>
        <v>0</v>
      </c>
      <c r="F439" s="47" t="n">
        <f aca="false">Inputs!$C$158*F435</f>
        <v>0</v>
      </c>
    </row>
    <row r="440" customFormat="false" ht="15" hidden="false" customHeight="false" outlineLevel="0" collapsed="false">
      <c r="A440" s="10" t="s">
        <v>634</v>
      </c>
      <c r="B440" s="26" t="n">
        <v>0</v>
      </c>
      <c r="C440" s="47" t="n">
        <f aca="false">Inputs!$B$23</f>
        <v>2</v>
      </c>
      <c r="D440" s="26" t="n">
        <v>0</v>
      </c>
      <c r="E440" s="26" t="n">
        <v>0</v>
      </c>
      <c r="F440" s="26" t="n">
        <v>0</v>
      </c>
    </row>
    <row r="441" customFormat="false" ht="15" hidden="false" customHeight="false" outlineLevel="0" collapsed="false">
      <c r="A441" s="10" t="s">
        <v>635</v>
      </c>
      <c r="B441" s="47" t="n">
        <f aca="false">B436+B438-B439-B440</f>
        <v>0</v>
      </c>
      <c r="C441" s="47" t="n">
        <f aca="false">C436+C438-C439-C440</f>
        <v>0</v>
      </c>
      <c r="D441" s="47" t="n">
        <f aca="false">D436+D438-D439-D440</f>
        <v>4</v>
      </c>
      <c r="E441" s="47" t="n">
        <f aca="false">E436+E438-E439-E440</f>
        <v>6</v>
      </c>
      <c r="F441" s="47" t="n">
        <f aca="false">F436+F438-F439-F440</f>
        <v>8</v>
      </c>
    </row>
    <row r="442" customFormat="false" ht="15" hidden="false" customHeight="false" outlineLevel="0" collapsed="false">
      <c r="A442" s="10" t="s">
        <v>636</v>
      </c>
      <c r="B442" s="26" t="n">
        <v>0</v>
      </c>
      <c r="C442" s="47" t="n">
        <f aca="false">Inputs!$B$24/2</f>
        <v>0</v>
      </c>
      <c r="D442" s="47" t="n">
        <f aca="false">Inputs!$B$24/2</f>
        <v>0</v>
      </c>
      <c r="E442" s="26" t="n">
        <v>0</v>
      </c>
      <c r="F442" s="26" t="n">
        <v>0</v>
      </c>
    </row>
    <row r="443" customFormat="false" ht="15" hidden="false" customHeight="false" outlineLevel="0" collapsed="false">
      <c r="A443" s="10" t="s">
        <v>637</v>
      </c>
      <c r="B443" s="26" t="n">
        <v>0</v>
      </c>
      <c r="C443" s="47" t="n">
        <f aca="false">(C25+C131)*Inputs!$C$159*C434</f>
        <v>1.283015337</v>
      </c>
      <c r="D443" s="47" t="n">
        <f aca="false">(D25+D131)*Inputs!$C$159*D434</f>
        <v>2.96063381962</v>
      </c>
      <c r="E443" s="47" t="n">
        <f aca="false">(E25+E131)*Inputs!$C$159*E434</f>
        <v>4.18746233944665</v>
      </c>
      <c r="F443" s="47" t="n">
        <f aca="false">(F25+F131)*Inputs!$C$159*F434</f>
        <v>4.12399115891932</v>
      </c>
    </row>
    <row r="444" customFormat="false" ht="15" hidden="false" customHeight="false" outlineLevel="0" collapsed="false">
      <c r="A444" s="10" t="s">
        <v>638</v>
      </c>
      <c r="B444" s="26" t="n">
        <v>0</v>
      </c>
      <c r="C444" s="26" t="n">
        <v>0</v>
      </c>
      <c r="D444" s="26" t="n">
        <v>0</v>
      </c>
      <c r="E444" s="26" t="n">
        <v>0</v>
      </c>
      <c r="F444" s="26" t="n">
        <v>0</v>
      </c>
    </row>
    <row r="445" customFormat="false" ht="15" hidden="false" customHeight="false" outlineLevel="0" collapsed="false">
      <c r="A445" s="10" t="s">
        <v>639</v>
      </c>
      <c r="B445" s="47" t="n">
        <f aca="false">B442-B443-B444</f>
        <v>0</v>
      </c>
      <c r="C445" s="47" t="n">
        <f aca="false">C442-C443-C444</f>
        <v>-1.283015337</v>
      </c>
      <c r="D445" s="47" t="n">
        <f aca="false">D442-D443-D444</f>
        <v>-2.96063381962</v>
      </c>
      <c r="E445" s="47" t="n">
        <f aca="false">E442-E443-E444</f>
        <v>-4.18746233944665</v>
      </c>
      <c r="F445" s="47" t="n">
        <f aca="false">F442-F443-F444</f>
        <v>-4.12399115891932</v>
      </c>
    </row>
    <row r="446" customFormat="false" ht="15" hidden="false" customHeight="false" outlineLevel="0" collapsed="false">
      <c r="A446" s="10" t="s">
        <v>640</v>
      </c>
      <c r="B446" s="26" t="n">
        <v>0</v>
      </c>
      <c r="C446" s="47" t="n">
        <f aca="false">C445*0.5/Inputs!$B$47</f>
        <v>-0.0916439526428571</v>
      </c>
      <c r="D446" s="47" t="n">
        <f aca="false">C445*IF(1&lt;=Inputs!$B$47-1,1,IF(1=Inputs!$B$47,0.5,0))/Inputs!$B$47+D445*0.5/Inputs!$B$47</f>
        <v>-0.394761749544286</v>
      </c>
      <c r="E446" s="47" t="n">
        <f aca="false">C445*IF(2&lt;=Inputs!$B$47-1,1,IF(2=Inputs!$B$47,0.5,0))/Inputs!$B$47+D445*IF(1&lt;=Inputs!$B$47-1,1,IF(1=Inputs!$B$47,0.5,0))/Inputs!$B$47+E445*0.5/Inputs!$B$47</f>
        <v>-0.905340046620475</v>
      </c>
      <c r="F446" s="47" t="n">
        <f aca="false">C445*IF(3&lt;=Inputs!$B$47-1,1,IF(3=Inputs!$B$47,0.5,0))/Inputs!$B$47+D445*IF(2&lt;=Inputs!$B$47-1,1,IF(2=Inputs!$B$47,0.5,0))/Inputs!$B$47+E445*IF(1&lt;=Inputs!$B$47-1,1,IF(1=Inputs!$B$47,0.5,0))/Inputs!$B$47+F445*0.5/Inputs!$B$47</f>
        <v>-1.49901529650376</v>
      </c>
    </row>
    <row r="447" customFormat="false" ht="15" hidden="false" customHeight="false" outlineLevel="0" collapsed="false">
      <c r="A447" s="13" t="s">
        <v>641</v>
      </c>
      <c r="B447" s="18" t="n">
        <f aca="false">B441-B446</f>
        <v>0</v>
      </c>
      <c r="C447" s="18" t="n">
        <f aca="false">C441-C446</f>
        <v>0.0916439526428571</v>
      </c>
      <c r="D447" s="18" t="n">
        <f aca="false">D441-D446</f>
        <v>4.39476174954429</v>
      </c>
      <c r="E447" s="18" t="n">
        <f aca="false">E441-E446</f>
        <v>6.90534004662048</v>
      </c>
      <c r="F447" s="18" t="n">
        <f aca="false">F441-F446</f>
        <v>9.49901529650376</v>
      </c>
    </row>
    <row r="448" customFormat="false" ht="15" hidden="false" customHeight="false" outlineLevel="0" collapsed="false">
      <c r="A448" s="10" t="s">
        <v>642</v>
      </c>
      <c r="B448" s="47" t="n">
        <f aca="false">B441-(Inputs!$B$37*B445+(1-Inputs!$B$37)*B446)</f>
        <v>0</v>
      </c>
      <c r="C448" s="47" t="n">
        <f aca="false">C441-(Inputs!$B$37*C445+(1-Inputs!$B$37)*C446)</f>
        <v>0.925603921692857</v>
      </c>
      <c r="D448" s="47" t="n">
        <f aca="false">D441-(Inputs!$B$37*D445+(1-Inputs!$B$37)*D446)</f>
        <v>6.19087219859729</v>
      </c>
      <c r="E448" s="47" t="n">
        <f aca="false">E441-(Inputs!$B$37*E445+(1-Inputs!$B$37)*E446)</f>
        <v>9.2028256515988</v>
      </c>
      <c r="F448" s="47" t="n">
        <f aca="false">F441-(Inputs!$B$37*F445+(1-Inputs!$B$37)*F446)</f>
        <v>11.3364984001947</v>
      </c>
    </row>
    <row r="449" customFormat="false" ht="15" hidden="false" customHeight="false" outlineLevel="0" collapsed="false">
      <c r="A449" s="10" t="s">
        <v>643</v>
      </c>
      <c r="B449" s="47" t="n">
        <f aca="false">B448*Inputs!$B$79</f>
        <v>0</v>
      </c>
      <c r="C449" s="47" t="n">
        <f aca="false">C448*Inputs!$B$79</f>
        <v>0.223625907480994</v>
      </c>
      <c r="D449" s="47" t="n">
        <f aca="false">D448*Inputs!$B$79</f>
        <v>1.4957147231811</v>
      </c>
      <c r="E449" s="47" t="n">
        <f aca="false">E448*Inputs!$B$79</f>
        <v>2.22340267742627</v>
      </c>
      <c r="F449" s="47" t="n">
        <f aca="false">F448*Inputs!$B$79</f>
        <v>2.73889801348703</v>
      </c>
    </row>
    <row r="450" customFormat="false" ht="15" hidden="false" customHeight="false" outlineLevel="0" collapsed="false">
      <c r="A450" s="13" t="s">
        <v>644</v>
      </c>
      <c r="B450" s="18" t="n">
        <f aca="false">B447+B446-B449-B445</f>
        <v>0</v>
      </c>
      <c r="C450" s="18" t="n">
        <f aca="false">C447+C446-C449-C445</f>
        <v>1.05938942951901</v>
      </c>
      <c r="D450" s="18" t="n">
        <f aca="false">D447+D446-D449-D445</f>
        <v>5.4649190964389</v>
      </c>
      <c r="E450" s="18" t="n">
        <f aca="false">E447+E446-E449-E445</f>
        <v>7.96405966202038</v>
      </c>
      <c r="F450" s="18" t="n">
        <f aca="false">F447+F446-F449-F445</f>
        <v>9.38509314543229</v>
      </c>
    </row>
    <row r="451" customFormat="false" ht="15" hidden="false" customHeight="false" outlineLevel="0" collapsed="false">
      <c r="A451" s="10" t="s">
        <v>645</v>
      </c>
      <c r="B451" s="47" t="n">
        <f aca="false">$F$447*(1-Inputs!$B$79)+$F$446-$F$445</f>
        <v>9.82902906328401</v>
      </c>
    </row>
    <row r="452" customFormat="false" ht="15" hidden="false" customHeight="false" outlineLevel="0" collapsed="false">
      <c r="A452" s="10" t="s">
        <v>646</v>
      </c>
      <c r="B452" s="47" t="n">
        <f aca="false">SUMPRODUCT($C$450:$F$450,$C$527:$F$527)+$F$447*(1-Inputs!$B$79)*Inputs!$B$30*$F$527</f>
        <v>136.033683731172</v>
      </c>
    </row>
    <row r="453" customFormat="false" ht="15" hidden="false" customHeight="false" outlineLevel="0" collapsed="false">
      <c r="A453" s="10" t="s">
        <v>647</v>
      </c>
      <c r="B453" s="47" t="n">
        <f aca="false">SUMPRODUCT($C$450:$F$450,$C$527:$F$527)+$B$451*Inputs!$B$31*$F$527</f>
        <v>146.889076956292</v>
      </c>
    </row>
    <row r="454" customFormat="false" ht="15" hidden="false" customHeight="false" outlineLevel="0" collapsed="false">
      <c r="A454" s="13" t="s">
        <v>648</v>
      </c>
      <c r="B454" s="18" t="n">
        <f aca="false">Inputs!$B$7*$B$452+(1-Inputs!$B$7)*$B$453</f>
        <v>141.461380343732</v>
      </c>
    </row>
    <row r="456" customFormat="false" ht="15" hidden="false" customHeight="false" outlineLevel="0" collapsed="false">
      <c r="A456" s="8" t="s">
        <v>649</v>
      </c>
      <c r="B456" s="9" t="s">
        <v>495</v>
      </c>
      <c r="C456" s="9" t="s">
        <v>496</v>
      </c>
      <c r="D456" s="9" t="s">
        <v>497</v>
      </c>
      <c r="E456" s="9" t="s">
        <v>498</v>
      </c>
      <c r="F456" s="9" t="s">
        <v>499</v>
      </c>
    </row>
    <row r="457" customFormat="false" ht="15" hidden="false" customHeight="false" outlineLevel="0" collapsed="false">
      <c r="A457" s="10" t="s">
        <v>628</v>
      </c>
      <c r="B457" s="19" t="n">
        <f aca="false">IF(0-Inputs!$B$25&lt;0,0,INDEX(Inputs!$B$82:$F$82,1,0-Inputs!$B$25+1))*Inputs!$B$28</f>
        <v>0</v>
      </c>
      <c r="C457" s="19" t="n">
        <f aca="false">IF(1-Inputs!$B$25&lt;0,0,INDEX(Inputs!$B$82:$F$82,1,1-Inputs!$B$25+1))*Inputs!$B$28</f>
        <v>0.1875</v>
      </c>
      <c r="D457" s="19" t="n">
        <f aca="false">IF(2-Inputs!$B$25&lt;0,0,INDEX(Inputs!$B$82:$F$82,1,2-Inputs!$B$25+1))*Inputs!$B$28</f>
        <v>0.375</v>
      </c>
      <c r="E457" s="19" t="n">
        <f aca="false">IF(3-Inputs!$B$25&lt;0,0,INDEX(Inputs!$B$82:$F$82,1,3-Inputs!$B$25+1))*Inputs!$B$28</f>
        <v>0.5625</v>
      </c>
      <c r="F457" s="19" t="n">
        <f aca="false">IF(4-Inputs!$B$25&lt;0,0,INDEX(Inputs!$B$82:$F$82,1,4-Inputs!$B$25+1))*Inputs!$B$28</f>
        <v>0.75</v>
      </c>
    </row>
    <row r="458" customFormat="false" ht="15" hidden="false" customHeight="false" outlineLevel="0" collapsed="false">
      <c r="A458" s="10" t="s">
        <v>629</v>
      </c>
      <c r="B458" s="19" t="n">
        <f aca="false">IF(0-Inputs!$B$25&lt;0,0,INDEX(Inputs!$B$82:$F$82,1,0-Inputs!$B$25+1))</f>
        <v>0</v>
      </c>
      <c r="C458" s="19" t="n">
        <f aca="false">IF(1-Inputs!$B$25&lt;0,0,INDEX(Inputs!$B$82:$F$82,1,1-Inputs!$B$25+1))</f>
        <v>0.25</v>
      </c>
      <c r="D458" s="19" t="n">
        <f aca="false">IF(2-Inputs!$B$25&lt;0,0,INDEX(Inputs!$B$82:$F$82,1,2-Inputs!$B$25+1))</f>
        <v>0.5</v>
      </c>
      <c r="E458" s="19" t="n">
        <f aca="false">IF(3-Inputs!$B$25&lt;0,0,INDEX(Inputs!$B$82:$F$82,1,3-Inputs!$B$25+1))</f>
        <v>0.75</v>
      </c>
      <c r="F458" s="19" t="n">
        <f aca="false">IF(4-Inputs!$B$25&lt;0,0,INDEX(Inputs!$B$82:$F$82,1,4-Inputs!$B$25+1))</f>
        <v>1</v>
      </c>
    </row>
    <row r="459" customFormat="false" ht="15" hidden="false" customHeight="false" outlineLevel="0" collapsed="false">
      <c r="A459" s="10" t="s">
        <v>630</v>
      </c>
      <c r="B459" s="47" t="n">
        <f aca="false">Inputs!$C$155*B457</f>
        <v>0</v>
      </c>
      <c r="C459" s="47" t="n">
        <f aca="false">Inputs!$C$155*C457</f>
        <v>0.9375</v>
      </c>
      <c r="D459" s="47" t="n">
        <f aca="false">Inputs!$C$155*D457</f>
        <v>1.875</v>
      </c>
      <c r="E459" s="47" t="n">
        <f aca="false">Inputs!$C$155*E457</f>
        <v>2.8125</v>
      </c>
      <c r="F459" s="47" t="n">
        <f aca="false">Inputs!$C$155*F457</f>
        <v>3.75</v>
      </c>
    </row>
    <row r="460" customFormat="false" ht="15" hidden="false" customHeight="false" outlineLevel="0" collapsed="false">
      <c r="A460" s="10" t="s">
        <v>631</v>
      </c>
      <c r="B460" s="47" t="n">
        <f aca="false">Inputs!$C$156*B457</f>
        <v>0</v>
      </c>
      <c r="C460" s="47" t="n">
        <f aca="false">Inputs!$C$156*C457</f>
        <v>1.875</v>
      </c>
      <c r="D460" s="47" t="n">
        <f aca="false">Inputs!$C$156*D457</f>
        <v>3.75</v>
      </c>
      <c r="E460" s="47" t="n">
        <f aca="false">Inputs!$C$156*E457</f>
        <v>5.625</v>
      </c>
      <c r="F460" s="47" t="n">
        <f aca="false">Inputs!$C$156*F457</f>
        <v>7.5</v>
      </c>
    </row>
    <row r="461" customFormat="false" ht="15" hidden="false" customHeight="false" outlineLevel="0" collapsed="false">
      <c r="A461" s="10" t="s">
        <v>632</v>
      </c>
      <c r="B461" s="47" t="n">
        <f aca="false">B460*Inputs!$C$157</f>
        <v>0</v>
      </c>
      <c r="C461" s="47" t="n">
        <f aca="false">C460*Inputs!$C$157</f>
        <v>0.5625</v>
      </c>
      <c r="D461" s="47" t="n">
        <f aca="false">D460*Inputs!$C$157</f>
        <v>1.125</v>
      </c>
      <c r="E461" s="47" t="n">
        <f aca="false">E460*Inputs!$C$157</f>
        <v>1.6875</v>
      </c>
      <c r="F461" s="47" t="n">
        <f aca="false">F460*Inputs!$C$157</f>
        <v>2.25</v>
      </c>
    </row>
    <row r="462" customFormat="false" ht="15" hidden="false" customHeight="false" outlineLevel="0" collapsed="false">
      <c r="A462" s="10" t="s">
        <v>633</v>
      </c>
      <c r="B462" s="47" t="n">
        <f aca="false">Inputs!$B$27*B458</f>
        <v>0</v>
      </c>
      <c r="C462" s="47" t="n">
        <f aca="false">Inputs!$B$27*C458</f>
        <v>0.25</v>
      </c>
      <c r="D462" s="47" t="n">
        <f aca="false">Inputs!$B$27*D458</f>
        <v>0.5</v>
      </c>
      <c r="E462" s="47" t="n">
        <f aca="false">Inputs!$B$27*E458</f>
        <v>0.75</v>
      </c>
      <c r="F462" s="47" t="n">
        <f aca="false">Inputs!$B$27*F458</f>
        <v>1</v>
      </c>
    </row>
    <row r="463" customFormat="false" ht="15" hidden="false" customHeight="false" outlineLevel="0" collapsed="false">
      <c r="A463" s="10" t="s">
        <v>634</v>
      </c>
      <c r="B463" s="26" t="n">
        <v>0</v>
      </c>
      <c r="C463" s="47" t="n">
        <f aca="false">Inputs!$B$23</f>
        <v>2</v>
      </c>
      <c r="D463" s="26" t="n">
        <v>0</v>
      </c>
      <c r="E463" s="26" t="n">
        <v>0</v>
      </c>
      <c r="F463" s="26" t="n">
        <v>0</v>
      </c>
    </row>
    <row r="464" customFormat="false" ht="15" hidden="false" customHeight="false" outlineLevel="0" collapsed="false">
      <c r="A464" s="10" t="s">
        <v>635</v>
      </c>
      <c r="B464" s="47" t="n">
        <f aca="false">B459+B461-B462-B463</f>
        <v>0</v>
      </c>
      <c r="C464" s="47" t="n">
        <f aca="false">C459+C461-C462-C463</f>
        <v>-0.75</v>
      </c>
      <c r="D464" s="47" t="n">
        <f aca="false">D459+D461-D462-D463</f>
        <v>2.5</v>
      </c>
      <c r="E464" s="47" t="n">
        <f aca="false">E459+E461-E462-E463</f>
        <v>3.75</v>
      </c>
      <c r="F464" s="47" t="n">
        <f aca="false">F459+F461-F462-F463</f>
        <v>5</v>
      </c>
    </row>
    <row r="465" customFormat="false" ht="15" hidden="false" customHeight="false" outlineLevel="0" collapsed="false">
      <c r="A465" s="10" t="s">
        <v>636</v>
      </c>
      <c r="B465" s="26" t="n">
        <v>0</v>
      </c>
      <c r="C465" s="47" t="n">
        <f aca="false">Inputs!$B$29/2</f>
        <v>1.5</v>
      </c>
      <c r="D465" s="47" t="n">
        <f aca="false">Inputs!$B$29/2</f>
        <v>1.5</v>
      </c>
      <c r="E465" s="26" t="n">
        <v>0</v>
      </c>
      <c r="F465" s="26" t="n">
        <v>0</v>
      </c>
    </row>
    <row r="466" customFormat="false" ht="15" hidden="false" customHeight="false" outlineLevel="0" collapsed="false">
      <c r="A466" s="10" t="s">
        <v>637</v>
      </c>
      <c r="B466" s="26" t="n">
        <v>0</v>
      </c>
      <c r="C466" s="47" t="n">
        <f aca="false">(C25+C131)*Inputs!$C$159*C457</f>
        <v>0.96226150275</v>
      </c>
      <c r="D466" s="47" t="n">
        <f aca="false">(D25+D131)*Inputs!$C$159*D457</f>
        <v>2.220475364715</v>
      </c>
      <c r="E466" s="47" t="n">
        <f aca="false">(E25+E131)*Inputs!$C$159*E457</f>
        <v>3.14059675458499</v>
      </c>
      <c r="F466" s="47" t="n">
        <f aca="false">(F25+F131)*Inputs!$C$159*F457</f>
        <v>3.09299336918949</v>
      </c>
    </row>
    <row r="467" customFormat="false" ht="15" hidden="false" customHeight="false" outlineLevel="0" collapsed="false">
      <c r="A467" s="10" t="s">
        <v>638</v>
      </c>
      <c r="B467" s="26" t="n">
        <v>0</v>
      </c>
      <c r="C467" s="26" t="n">
        <v>0</v>
      </c>
      <c r="D467" s="26" t="n">
        <v>0</v>
      </c>
      <c r="E467" s="26" t="n">
        <v>0</v>
      </c>
      <c r="F467" s="26" t="n">
        <v>0</v>
      </c>
    </row>
    <row r="468" customFormat="false" ht="15" hidden="false" customHeight="false" outlineLevel="0" collapsed="false">
      <c r="A468" s="10" t="s">
        <v>639</v>
      </c>
      <c r="B468" s="47" t="n">
        <f aca="false">B465-B466-B467</f>
        <v>0</v>
      </c>
      <c r="C468" s="47" t="n">
        <f aca="false">C465-C466-C467</f>
        <v>0.53773849725</v>
      </c>
      <c r="D468" s="47" t="n">
        <f aca="false">D465-D466-D467</f>
        <v>-0.720475364715</v>
      </c>
      <c r="E468" s="47" t="n">
        <f aca="false">E465-E466-E467</f>
        <v>-3.14059675458499</v>
      </c>
      <c r="F468" s="47" t="n">
        <f aca="false">F465-F466-F467</f>
        <v>-3.09299336918949</v>
      </c>
    </row>
    <row r="469" customFormat="false" ht="15" hidden="false" customHeight="false" outlineLevel="0" collapsed="false">
      <c r="A469" s="10" t="s">
        <v>640</v>
      </c>
      <c r="B469" s="26" t="n">
        <v>0</v>
      </c>
      <c r="C469" s="47" t="n">
        <f aca="false">C468*0.5/Inputs!$B$47</f>
        <v>0.0384098926607143</v>
      </c>
      <c r="D469" s="47" t="n">
        <f aca="false">C468*IF(1&lt;=Inputs!$B$47-1,1,IF(1=Inputs!$B$47,0.5,0))/Inputs!$B$47+D468*0.5/Inputs!$B$47</f>
        <v>0.0253572592703572</v>
      </c>
      <c r="E469" s="47" t="n">
        <f aca="false">C468*IF(2&lt;=Inputs!$B$47-1,1,IF(2=Inputs!$B$47,0.5,0))/Inputs!$B$47+D468*IF(1&lt;=Inputs!$B$47-1,1,IF(1=Inputs!$B$47,0.5,0))/Inputs!$B$47+E468*0.5/Inputs!$B$47</f>
        <v>-0.250433606393928</v>
      </c>
      <c r="F469" s="47" t="n">
        <f aca="false">C468*IF(3&lt;=Inputs!$B$47-1,1,IF(3=Inputs!$B$47,0.5,0))/Inputs!$B$47+D468*IF(2&lt;=Inputs!$B$47-1,1,IF(2=Inputs!$B$47,0.5,0))/Inputs!$B$47+E468*IF(1&lt;=Inputs!$B$47-1,1,IF(1=Inputs!$B$47,0.5,0))/Inputs!$B$47+F468*0.5/Inputs!$B$47</f>
        <v>-0.69569004380639</v>
      </c>
    </row>
    <row r="470" customFormat="false" ht="15" hidden="false" customHeight="false" outlineLevel="0" collapsed="false">
      <c r="A470" s="13" t="s">
        <v>641</v>
      </c>
      <c r="B470" s="18" t="n">
        <f aca="false">B464-B469</f>
        <v>0</v>
      </c>
      <c r="C470" s="18" t="n">
        <f aca="false">C464-C469</f>
        <v>-0.788409892660714</v>
      </c>
      <c r="D470" s="18" t="n">
        <f aca="false">D464-D469</f>
        <v>2.47464274072964</v>
      </c>
      <c r="E470" s="18" t="n">
        <f aca="false">E464-E469</f>
        <v>4.00043360639393</v>
      </c>
      <c r="F470" s="18" t="n">
        <f aca="false">F464-F469</f>
        <v>5.69569004380639</v>
      </c>
    </row>
    <row r="471" customFormat="false" ht="15" hidden="false" customHeight="false" outlineLevel="0" collapsed="false">
      <c r="A471" s="10" t="s">
        <v>642</v>
      </c>
      <c r="B471" s="47" t="n">
        <f aca="false">B464-(Inputs!$B$37*B468+(1-Inputs!$B$37)*B469)</f>
        <v>0</v>
      </c>
      <c r="C471" s="47" t="n">
        <f aca="false">C464-(Inputs!$B$37*C468+(1-Inputs!$B$37)*C469)</f>
        <v>-1.13793991587321</v>
      </c>
      <c r="D471" s="47" t="n">
        <f aca="false">D464-(Inputs!$B$37*D468+(1-Inputs!$B$37)*D469)</f>
        <v>2.99672557751939</v>
      </c>
      <c r="E471" s="47" t="n">
        <f aca="false">E464-(Inputs!$B$37*E468+(1-Inputs!$B$37)*E469)</f>
        <v>6.02354781012767</v>
      </c>
      <c r="F471" s="47" t="n">
        <f aca="false">F464-(Inputs!$B$37*F468+(1-Inputs!$B$37)*F469)</f>
        <v>7.37380237157456</v>
      </c>
    </row>
    <row r="472" customFormat="false" ht="15" hidden="false" customHeight="false" outlineLevel="0" collapsed="false">
      <c r="A472" s="10" t="s">
        <v>643</v>
      </c>
      <c r="B472" s="47" t="n">
        <f aca="false">B471*Inputs!$B$79</f>
        <v>0</v>
      </c>
      <c r="C472" s="47" t="n">
        <f aca="false">C471*Inputs!$B$79</f>
        <v>-0.274926283674969</v>
      </c>
      <c r="D472" s="47" t="n">
        <f aca="false">D471*Inputs!$B$79</f>
        <v>0.724008899528685</v>
      </c>
      <c r="E472" s="47" t="n">
        <f aca="false">E471*Inputs!$B$79</f>
        <v>1.45528915092684</v>
      </c>
      <c r="F472" s="47" t="n">
        <f aca="false">F471*Inputs!$B$79</f>
        <v>1.78151065297241</v>
      </c>
    </row>
    <row r="473" customFormat="false" ht="15" hidden="false" customHeight="false" outlineLevel="0" collapsed="false">
      <c r="A473" s="13" t="s">
        <v>644</v>
      </c>
      <c r="B473" s="18" t="n">
        <f aca="false">B470+B469-B472-B468</f>
        <v>0</v>
      </c>
      <c r="C473" s="18" t="n">
        <f aca="false">C470+C469-C472-C468</f>
        <v>-1.01281221357503</v>
      </c>
      <c r="D473" s="18" t="n">
        <f aca="false">D470+D469-D472-D468</f>
        <v>2.49646646518631</v>
      </c>
      <c r="E473" s="18" t="n">
        <f aca="false">E470+E469-E472-E468</f>
        <v>5.43530760365814</v>
      </c>
      <c r="F473" s="18" t="n">
        <f aca="false">F470+F469-F472-F468</f>
        <v>6.31148271621708</v>
      </c>
    </row>
    <row r="474" customFormat="false" ht="15" hidden="false" customHeight="false" outlineLevel="0" collapsed="false">
      <c r="A474" s="10" t="s">
        <v>645</v>
      </c>
      <c r="B474" s="47" t="n">
        <f aca="false">$F$470*(1-Inputs!$B$79)+$F$469-$F$468</f>
        <v>6.71691465460586</v>
      </c>
    </row>
    <row r="475" customFormat="false" ht="15" hidden="false" customHeight="false" outlineLevel="0" collapsed="false">
      <c r="A475" s="10" t="s">
        <v>646</v>
      </c>
      <c r="B475" s="47" t="n">
        <f aca="false">SUMPRODUCT($C$473:$F$473,$C$527:$F$527)+$F$470*(1-Inputs!$B$79)*Inputs!$B$30*$F$527</f>
        <v>80.3821084544682</v>
      </c>
    </row>
    <row r="476" customFormat="false" ht="15" hidden="false" customHeight="false" outlineLevel="0" collapsed="false">
      <c r="A476" s="10" t="s">
        <v>647</v>
      </c>
      <c r="B476" s="47" t="n">
        <f aca="false">SUMPRODUCT($C$473:$F$473,$C$527:$F$527)+$B$474*Inputs!$B$31*$F$527</f>
        <v>97.7383586573479</v>
      </c>
    </row>
    <row r="477" customFormat="false" ht="15" hidden="false" customHeight="false" outlineLevel="0" collapsed="false">
      <c r="A477" s="13" t="s">
        <v>648</v>
      </c>
      <c r="B477" s="18" t="n">
        <f aca="false">Inputs!$B$7*$B$475+(1-Inputs!$B$7)*$B$476</f>
        <v>89.060233555908</v>
      </c>
    </row>
    <row r="479" customFormat="false" ht="15" hidden="false" customHeight="false" outlineLevel="0" collapsed="false">
      <c r="A479" s="8" t="s">
        <v>650</v>
      </c>
      <c r="B479" s="9" t="s">
        <v>495</v>
      </c>
      <c r="C479" s="9" t="s">
        <v>496</v>
      </c>
      <c r="D479" s="9" t="s">
        <v>497</v>
      </c>
      <c r="E479" s="9" t="s">
        <v>498</v>
      </c>
      <c r="F479" s="9" t="s">
        <v>499</v>
      </c>
    </row>
    <row r="480" customFormat="false" ht="15" hidden="false" customHeight="false" outlineLevel="0" collapsed="false">
      <c r="A480" s="10" t="s">
        <v>628</v>
      </c>
    </row>
    <row r="481" customFormat="false" ht="15" hidden="false" customHeight="false" outlineLevel="0" collapsed="false">
      <c r="A481" s="10" t="s">
        <v>629</v>
      </c>
    </row>
    <row r="482" customFormat="false" ht="15" hidden="false" customHeight="false" outlineLevel="0" collapsed="false">
      <c r="A482" s="10" t="s">
        <v>630</v>
      </c>
    </row>
    <row r="483" customFormat="false" ht="15" hidden="false" customHeight="false" outlineLevel="0" collapsed="false">
      <c r="A483" s="10" t="s">
        <v>631</v>
      </c>
      <c r="B483" s="26" t="n">
        <v>0</v>
      </c>
      <c r="C483" s="47" t="n">
        <f aca="false">Inputs!$B$76</f>
        <v>1</v>
      </c>
      <c r="D483" s="47" t="n">
        <f aca="false">Inputs!$B$76</f>
        <v>1</v>
      </c>
      <c r="E483" s="47" t="n">
        <f aca="false">Inputs!$B$76</f>
        <v>1</v>
      </c>
      <c r="F483" s="47" t="n">
        <f aca="false">Inputs!$B$76</f>
        <v>1</v>
      </c>
    </row>
    <row r="484" customFormat="false" ht="15" hidden="false" customHeight="false" outlineLevel="0" collapsed="false">
      <c r="A484" s="10" t="s">
        <v>632</v>
      </c>
    </row>
    <row r="485" customFormat="false" ht="15" hidden="false" customHeight="false" outlineLevel="0" collapsed="false">
      <c r="A485" s="10" t="s">
        <v>633</v>
      </c>
    </row>
    <row r="486" customFormat="false" ht="15" hidden="false" customHeight="false" outlineLevel="0" collapsed="false">
      <c r="A486" s="10" t="s">
        <v>634</v>
      </c>
    </row>
    <row r="487" customFormat="false" ht="15" hidden="false" customHeight="false" outlineLevel="0" collapsed="false">
      <c r="A487" s="10" t="s">
        <v>635</v>
      </c>
      <c r="B487" s="47" t="n">
        <f aca="false">-B490</f>
        <v>-0</v>
      </c>
      <c r="C487" s="47" t="n">
        <f aca="false">-C490</f>
        <v>-0.236421725239617</v>
      </c>
      <c r="D487" s="47" t="n">
        <f aca="false">-D490</f>
        <v>-0.236421725239617</v>
      </c>
      <c r="E487" s="47" t="n">
        <f aca="false">-E490</f>
        <v>-0.236421725239617</v>
      </c>
      <c r="F487" s="47" t="n">
        <f aca="false">-F490</f>
        <v>-0.236421725239617</v>
      </c>
    </row>
    <row r="488" customFormat="false" ht="15" hidden="false" customHeight="false" outlineLevel="0" collapsed="false">
      <c r="A488" s="10" t="s">
        <v>636</v>
      </c>
      <c r="B488" s="26" t="n">
        <v>0</v>
      </c>
      <c r="C488" s="26" t="n">
        <v>0</v>
      </c>
      <c r="D488" s="26" t="n">
        <v>0</v>
      </c>
      <c r="E488" s="26" t="n">
        <v>0</v>
      </c>
      <c r="F488" s="26" t="n">
        <v>0</v>
      </c>
    </row>
    <row r="489" customFormat="false" ht="15" hidden="false" customHeight="false" outlineLevel="0" collapsed="false">
      <c r="A489" s="10" t="s">
        <v>637</v>
      </c>
      <c r="B489" s="26" t="n">
        <v>0</v>
      </c>
      <c r="C489" s="26" t="n">
        <v>0</v>
      </c>
      <c r="D489" s="26" t="n">
        <v>0</v>
      </c>
      <c r="E489" s="26" t="n">
        <v>0</v>
      </c>
      <c r="F489" s="26" t="n">
        <v>0</v>
      </c>
    </row>
    <row r="490" customFormat="false" ht="15" hidden="false" customHeight="false" outlineLevel="0" collapsed="false">
      <c r="A490" s="10" t="s">
        <v>638</v>
      </c>
      <c r="B490" s="47" t="n">
        <f aca="false">B483*Inputs!$B$77</f>
        <v>0</v>
      </c>
      <c r="C490" s="47" t="n">
        <f aca="false">C483*Inputs!$B$77</f>
        <v>0.236421725239617</v>
      </c>
      <c r="D490" s="47" t="n">
        <f aca="false">D483*Inputs!$B$77</f>
        <v>0.236421725239617</v>
      </c>
      <c r="E490" s="47" t="n">
        <f aca="false">E483*Inputs!$B$77</f>
        <v>0.236421725239617</v>
      </c>
      <c r="F490" s="47" t="n">
        <f aca="false">F483*Inputs!$B$77</f>
        <v>0.236421725239617</v>
      </c>
    </row>
    <row r="491" customFormat="false" ht="15" hidden="false" customHeight="false" outlineLevel="0" collapsed="false">
      <c r="A491" s="10" t="s">
        <v>639</v>
      </c>
      <c r="B491" s="47" t="n">
        <f aca="false">B488-B489-B490</f>
        <v>0</v>
      </c>
      <c r="C491" s="47" t="n">
        <f aca="false">C488-C489-C490</f>
        <v>-0.236421725239617</v>
      </c>
      <c r="D491" s="47" t="n">
        <f aca="false">D488-D489-D490</f>
        <v>-0.236421725239617</v>
      </c>
      <c r="E491" s="47" t="n">
        <f aca="false">E488-E489-E490</f>
        <v>-0.236421725239617</v>
      </c>
      <c r="F491" s="47" t="n">
        <f aca="false">F488-F489-F490</f>
        <v>-0.236421725239617</v>
      </c>
    </row>
    <row r="492" customFormat="false" ht="15" hidden="false" customHeight="false" outlineLevel="0" collapsed="false">
      <c r="A492" s="10" t="s">
        <v>640</v>
      </c>
      <c r="B492" s="26" t="n">
        <v>0</v>
      </c>
      <c r="C492" s="47" t="n">
        <f aca="false">C491*0.5/Inputs!$B$47</f>
        <v>-0.0168872660885441</v>
      </c>
      <c r="D492" s="47" t="n">
        <f aca="false">C491*IF(1&lt;=Inputs!$B$47-1,1,IF(1=Inputs!$B$47,0.5,0))/Inputs!$B$47+D491*0.5/Inputs!$B$47</f>
        <v>-0.0506617982656322</v>
      </c>
      <c r="E492" s="47" t="n">
        <f aca="false">C491*IF(2&lt;=Inputs!$B$47-1,1,IF(2=Inputs!$B$47,0.5,0))/Inputs!$B$47+D491*IF(1&lt;=Inputs!$B$47-1,1,IF(1=Inputs!$B$47,0.5,0))/Inputs!$B$47+E491*0.5/Inputs!$B$47</f>
        <v>-0.0844363304427202</v>
      </c>
      <c r="F492" s="47" t="n">
        <f aca="false">C491*IF(3&lt;=Inputs!$B$47-1,1,IF(3=Inputs!$B$47,0.5,0))/Inputs!$B$47+D491*IF(2&lt;=Inputs!$B$47-1,1,IF(2=Inputs!$B$47,0.5,0))/Inputs!$B$47+E491*IF(1&lt;=Inputs!$B$47-1,1,IF(1=Inputs!$B$47,0.5,0))/Inputs!$B$47+F491*0.5/Inputs!$B$47</f>
        <v>-0.118210862619808</v>
      </c>
      <c r="G492" s="6" t="s">
        <v>651</v>
      </c>
    </row>
    <row r="493" customFormat="false" ht="15" hidden="false" customHeight="false" outlineLevel="0" collapsed="false">
      <c r="A493" s="13" t="s">
        <v>641</v>
      </c>
      <c r="B493" s="18" t="n">
        <f aca="false">B487-B492</f>
        <v>-0</v>
      </c>
      <c r="C493" s="18" t="n">
        <f aca="false">C487-C492</f>
        <v>-0.219534459151073</v>
      </c>
      <c r="D493" s="18" t="n">
        <f aca="false">D487-D492</f>
        <v>-0.185759926973985</v>
      </c>
      <c r="E493" s="18" t="n">
        <f aca="false">E487-E492</f>
        <v>-0.151985394796896</v>
      </c>
      <c r="F493" s="18" t="n">
        <f aca="false">F487-F492</f>
        <v>-0.118210862619808</v>
      </c>
    </row>
    <row r="494" customFormat="false" ht="15" hidden="false" customHeight="false" outlineLevel="0" collapsed="false">
      <c r="A494" s="10" t="s">
        <v>642</v>
      </c>
      <c r="B494" s="47" t="n">
        <f aca="false">B487-(Inputs!$B$37*B491+(1-Inputs!$B$37)*B492)</f>
        <v>-0</v>
      </c>
      <c r="C494" s="47" t="n">
        <f aca="false">C487-(Inputs!$B$37*C491+(1-Inputs!$B$37)*C492)</f>
        <v>-0.0658603377453218</v>
      </c>
      <c r="D494" s="47" t="n">
        <f aca="false">D487-(Inputs!$B$37*D491+(1-Inputs!$B$37)*D492)</f>
        <v>-0.0557279780921954</v>
      </c>
      <c r="E494" s="47" t="n">
        <f aca="false">E487-(Inputs!$B$37*E491+(1-Inputs!$B$37)*E492)</f>
        <v>-0.0455956184390689</v>
      </c>
      <c r="F494" s="47" t="n">
        <f aca="false">F487-(Inputs!$B$37*F491+(1-Inputs!$B$37)*F492)</f>
        <v>-0.0354632587859425</v>
      </c>
    </row>
    <row r="495" customFormat="false" ht="15" hidden="false" customHeight="false" outlineLevel="0" collapsed="false">
      <c r="A495" s="10" t="s">
        <v>643</v>
      </c>
      <c r="B495" s="47" t="n">
        <f aca="false">B494*Inputs!$B$79</f>
        <v>-0</v>
      </c>
      <c r="C495" s="47" t="n">
        <f aca="false">C494*Inputs!$B$79</f>
        <v>-0.0159118575992697</v>
      </c>
      <c r="D495" s="47" t="n">
        <f aca="false">D494*Inputs!$B$79</f>
        <v>-0.0134638795070744</v>
      </c>
      <c r="E495" s="47" t="n">
        <f aca="false">E494*Inputs!$B$79</f>
        <v>-0.0110159014148791</v>
      </c>
      <c r="F495" s="47" t="n">
        <f aca="false">F494*Inputs!$B$79</f>
        <v>-0.00856792332268371</v>
      </c>
    </row>
    <row r="496" customFormat="false" ht="15" hidden="false" customHeight="false" outlineLevel="0" collapsed="false">
      <c r="A496" s="13" t="s">
        <v>644</v>
      </c>
      <c r="B496" s="18" t="n">
        <f aca="false">B493+B492-B495-B491</f>
        <v>0</v>
      </c>
      <c r="C496" s="18" t="n">
        <f aca="false">C493+C492-C495-C491</f>
        <v>0.0159118575992697</v>
      </c>
      <c r="D496" s="18" t="n">
        <f aca="false">D493+D492-D495-D491</f>
        <v>0.0134638795070744</v>
      </c>
      <c r="E496" s="18" t="n">
        <f aca="false">E493+E492-E495-E491</f>
        <v>0.011015901414879</v>
      </c>
      <c r="F496" s="18" t="n">
        <f aca="false">F493+F492-F495-F491</f>
        <v>0.00856792332268372</v>
      </c>
    </row>
    <row r="497" customFormat="false" ht="15" hidden="false" customHeight="false" outlineLevel="0" collapsed="false">
      <c r="A497" s="10" t="s">
        <v>645</v>
      </c>
      <c r="B497" s="47" t="n">
        <f aca="false">$F$493*(1-Inputs!$B$79)+$F$492-$F$491</f>
        <v>0.0285597444089457</v>
      </c>
    </row>
    <row r="498" customFormat="false" ht="15" hidden="false" customHeight="false" outlineLevel="0" collapsed="false">
      <c r="A498" s="10" t="s">
        <v>646</v>
      </c>
      <c r="B498" s="47" t="n">
        <f aca="false">SUMPRODUCT($C$496:$F$496,$C$527:$F$527)+$F$493*(1-Inputs!$B$79)*Inputs!$B$30*$F$527</f>
        <v>-1.43743792866456</v>
      </c>
    </row>
    <row r="499" customFormat="false" ht="15" hidden="false" customHeight="false" outlineLevel="0" collapsed="false">
      <c r="A499" s="10" t="s">
        <v>647</v>
      </c>
      <c r="B499" s="47" t="n">
        <f aca="false">SUMPRODUCT($C$496:$F$496,$C$527:$F$527)+$B$497*Inputs!$B$31*$F$527</f>
        <v>0.415225047257938</v>
      </c>
    </row>
    <row r="500" customFormat="false" ht="15" hidden="false" customHeight="false" outlineLevel="0" collapsed="false">
      <c r="A500" s="13" t="s">
        <v>648</v>
      </c>
      <c r="B500" s="18" t="n">
        <f aca="false">Inputs!$B$7*$B$498+(1-Inputs!$B$7)*$B$499</f>
        <v>-0.511106440703309</v>
      </c>
    </row>
    <row r="502" customFormat="false" ht="15" hidden="false" customHeight="false" outlineLevel="0" collapsed="false">
      <c r="A502" s="8" t="s">
        <v>62</v>
      </c>
      <c r="B502" s="9" t="s">
        <v>495</v>
      </c>
      <c r="C502" s="9" t="s">
        <v>496</v>
      </c>
      <c r="D502" s="9" t="s">
        <v>497</v>
      </c>
      <c r="E502" s="9" t="s">
        <v>498</v>
      </c>
      <c r="F502" s="9" t="s">
        <v>499</v>
      </c>
    </row>
    <row r="503" customFormat="false" ht="15" hidden="false" customHeight="false" outlineLevel="0" collapsed="false">
      <c r="A503" s="13" t="s">
        <v>108</v>
      </c>
      <c r="B503" s="18" t="n">
        <f aca="false">B8+B119+B437-B483</f>
        <v>160.152</v>
      </c>
      <c r="C503" s="18" t="n">
        <f aca="false">C8+C119+C437-C483</f>
        <v>267.00968</v>
      </c>
      <c r="D503" s="18" t="n">
        <f aca="false">D8+D119+D437-D483</f>
        <v>354.6783954</v>
      </c>
      <c r="E503" s="18" t="n">
        <f aca="false">E8+E119+E437-E483</f>
        <v>445.499450882</v>
      </c>
      <c r="F503" s="18" t="n">
        <f aca="false">F8+F119+F437-F483</f>
        <v>539.47600554706</v>
      </c>
    </row>
    <row r="504" customFormat="false" ht="15" hidden="false" customHeight="false" outlineLevel="0" collapsed="false">
      <c r="A504" s="13" t="s">
        <v>513</v>
      </c>
      <c r="B504" s="18" t="n">
        <f aca="false">B20+B129+B447+B493</f>
        <v>8.099</v>
      </c>
      <c r="C504" s="18" t="n">
        <f aca="false">C20+C129+C447+C493</f>
        <v>45.064936896985</v>
      </c>
      <c r="D504" s="18" t="n">
        <f aca="false">D20+D129+D447+D493</f>
        <v>63.9034838341468</v>
      </c>
      <c r="E504" s="18" t="n">
        <f aca="false">E20+E129+E447+E493</f>
        <v>81.423598309954</v>
      </c>
      <c r="F504" s="18" t="n">
        <f aca="false">F20+F129+F447+F493</f>
        <v>106.300188880744</v>
      </c>
    </row>
    <row r="505" customFormat="false" ht="15" hidden="false" customHeight="false" outlineLevel="0" collapsed="false">
      <c r="A505" s="10" t="s">
        <v>514</v>
      </c>
      <c r="B505" s="19" t="n">
        <f aca="false">IFERROR(B504/B503,0)</f>
        <v>0.0505707078275638</v>
      </c>
      <c r="C505" s="19" t="n">
        <f aca="false">IFERROR(C504/C503,0)</f>
        <v>0.168776416259459</v>
      </c>
      <c r="D505" s="19" t="n">
        <f aca="false">IFERROR(D504/D503,0)</f>
        <v>0.180173037498034</v>
      </c>
      <c r="E505" s="19" t="n">
        <f aca="false">IFERROR(E504/E503,0)</f>
        <v>0.182769245054627</v>
      </c>
      <c r="F505" s="19" t="n">
        <f aca="false">IFERROR(F504/F503,0)</f>
        <v>0.197043404688498</v>
      </c>
    </row>
    <row r="506" customFormat="false" ht="15" hidden="false" customHeight="false" outlineLevel="0" collapsed="false">
      <c r="A506" s="10" t="s">
        <v>616</v>
      </c>
      <c r="B506" s="47" t="n">
        <f aca="false">B25+B131+B445+B491</f>
        <v>105.569</v>
      </c>
      <c r="C506" s="47" t="n">
        <f aca="false">C25+C131+C445+C491</f>
        <v>169.54927453776</v>
      </c>
      <c r="D506" s="47" t="n">
        <f aca="false">D25+D131+D445+D491</f>
        <v>194.178532429807</v>
      </c>
      <c r="E506" s="47" t="n">
        <f aca="false">E25+E131+E445+E491</f>
        <v>181.685553244054</v>
      </c>
      <c r="F506" s="47" t="n">
        <f aca="false">F25+F131+F445+F491</f>
        <v>133.105959079818</v>
      </c>
    </row>
    <row r="507" customFormat="false" ht="15" hidden="false" customHeight="false" outlineLevel="0" collapsed="false">
      <c r="A507" s="10" t="s">
        <v>652</v>
      </c>
      <c r="B507" s="47" t="n">
        <f aca="false">B44+B148+B449+B495</f>
        <v>0.13365</v>
      </c>
      <c r="C507" s="47" t="n">
        <f aca="false">C44+C148+C449+C495</f>
        <v>0.207714049881725</v>
      </c>
      <c r="D507" s="47" t="n">
        <f aca="false">D44+D148+D449+D495</f>
        <v>1.57982836937703</v>
      </c>
      <c r="E507" s="47" t="n">
        <f aca="false">E44+E148+E449+E495</f>
        <v>3.06698092217073</v>
      </c>
      <c r="F507" s="47" t="n">
        <f aca="false">F44+F148+F449+F495</f>
        <v>6.42505228360367</v>
      </c>
    </row>
    <row r="508" customFormat="false" ht="15" hidden="false" customHeight="false" outlineLevel="0" collapsed="false">
      <c r="A508" s="13" t="s">
        <v>653</v>
      </c>
      <c r="B508" s="18" t="n">
        <f aca="false">B49+B153+B450+B496</f>
        <v>-33.95165</v>
      </c>
      <c r="C508" s="18" t="n">
        <f aca="false">C49+C153+C450+C496</f>
        <v>-87.1814757128817</v>
      </c>
      <c r="D508" s="18" t="n">
        <f aca="false">D49+D153+D450+D496</f>
        <v>-72.727277063757</v>
      </c>
      <c r="E508" s="18" t="n">
        <f aca="false">E49+E153+E450+E496</f>
        <v>-21.6937642892641</v>
      </c>
      <c r="F508" s="18" t="n">
        <f aca="false">F49+F153+F450+F496</f>
        <v>66.5475633452898</v>
      </c>
    </row>
    <row r="509" customFormat="false" ht="15" hidden="false" customHeight="false" outlineLevel="0" collapsed="false">
      <c r="A509" s="10" t="s">
        <v>543</v>
      </c>
      <c r="C509" s="47" t="n">
        <f aca="false">C50+C154+C450+C496</f>
        <v>-70.6322405128817</v>
      </c>
      <c r="D509" s="47" t="n">
        <f aca="false">D50+D154+D450+D496</f>
        <v>-49.910974207757</v>
      </c>
      <c r="E509" s="47" t="n">
        <f aca="false">E50+E154+E450+E496</f>
        <v>7.46388964761593</v>
      </c>
      <c r="F509" s="47" t="n">
        <f aca="false">F50+F154+F450+F496</f>
        <v>102.071286746012</v>
      </c>
      <c r="G509" s="6" t="s">
        <v>654</v>
      </c>
    </row>
    <row r="510" customFormat="false" ht="15" hidden="false" customHeight="false" outlineLevel="0" collapsed="false">
      <c r="A510" s="10" t="s">
        <v>544</v>
      </c>
      <c r="C510" s="47" t="n">
        <f aca="false">B521</f>
        <v>104.990306532663</v>
      </c>
      <c r="D510" s="47" t="n">
        <f aca="false">C521</f>
        <v>34.2406654596274</v>
      </c>
      <c r="E510" s="47" t="n">
        <f aca="false">D521</f>
        <v>15</v>
      </c>
      <c r="F510" s="47" t="n">
        <f aca="false">E521</f>
        <v>18.1889285027371</v>
      </c>
    </row>
    <row r="511" customFormat="false" ht="15" hidden="false" customHeight="false" outlineLevel="0" collapsed="false">
      <c r="A511" s="10" t="s">
        <v>545</v>
      </c>
      <c r="C511" s="47" t="n">
        <f aca="false">B522</f>
        <v>48.367</v>
      </c>
      <c r="D511" s="47" t="n">
        <f aca="false">C522</f>
        <v>48.367</v>
      </c>
      <c r="E511" s="47" t="n">
        <f aca="false">D522</f>
        <v>82.3123285822261</v>
      </c>
      <c r="F511" s="47" t="n">
        <f aca="false">E522</f>
        <v>82.3123285822261</v>
      </c>
    </row>
    <row r="512" customFormat="false" ht="15" hidden="false" customHeight="false" outlineLevel="0" collapsed="false">
      <c r="A512" s="10" t="s">
        <v>546</v>
      </c>
      <c r="C512" s="47" t="n">
        <f aca="false">Inputs!$B$62+Inputs!$B$63</f>
        <v>0</v>
      </c>
      <c r="D512" s="26" t="n">
        <v>0</v>
      </c>
      <c r="E512" s="26" t="n">
        <v>0</v>
      </c>
      <c r="F512" s="26" t="n">
        <v>0</v>
      </c>
    </row>
    <row r="513" customFormat="false" ht="15" hidden="false" customHeight="false" outlineLevel="0" collapsed="false">
      <c r="A513" s="10" t="s">
        <v>547</v>
      </c>
      <c r="C513" s="47" t="n">
        <f aca="false">(C510+C509-C512+Inputs!$B$60*C510/2-Inputs!$B$61*(C511-C512/2))/(1-Inputs!$B$60/2)</f>
        <v>34.2406654596274</v>
      </c>
      <c r="D513" s="47" t="n">
        <f aca="false">(D510+D509-D512+Inputs!$B$60*D510/2-Inputs!$B$61*(D511-D512/2))/(1-Inputs!$B$60/2)</f>
        <v>-18.2525667744256</v>
      </c>
      <c r="E513" s="47" t="n">
        <f aca="false">(E510+E509-E512+Inputs!$B$60*E510/2-Inputs!$B$61*(E511-E512/2))/(1-Inputs!$B$60/2)</f>
        <v>18.1889285027371</v>
      </c>
      <c r="F513" s="47" t="n">
        <f aca="false">(F510+F509-F512+Inputs!$B$60*F510/2-Inputs!$B$61*(F511-F512/2))/(1-Inputs!$B$60/2)</f>
        <v>118.046177657011</v>
      </c>
    </row>
    <row r="514" customFormat="false" ht="15" hidden="false" customHeight="false" outlineLevel="0" collapsed="false">
      <c r="A514" s="10" t="s">
        <v>548</v>
      </c>
      <c r="C514" s="47" t="n">
        <f aca="false">IF(C513&gt;=Inputs!$B$68,0,(Inputs!$B$68-C510-C509+C512-Inputs!$B$60*(C510+Inputs!$B$68)/2+Inputs!$B$61*(C511-C512/2))/(1-Inputs!$B$61*Inputs!$B$69/(2*(1-Inputs!$B$70))))</f>
        <v>0</v>
      </c>
      <c r="D514" s="47" t="n">
        <f aca="false">IF(D513&gt;=Inputs!$B$68,0,(Inputs!$B$68-D510-D509+D512-Inputs!$B$60*(D510+Inputs!$B$68)/2+Inputs!$B$61*(D511-D512/2))/(1-Inputs!$B$61*Inputs!$B$69/(2*(1-Inputs!$B$70))))</f>
        <v>33.6058752964039</v>
      </c>
      <c r="E514" s="47" t="n">
        <f aca="false">IF(E513&gt;=Inputs!$B$68,0,(Inputs!$B$68-E510-E509+E512-Inputs!$B$60*(E510+Inputs!$B$68)/2+Inputs!$B$61*(E511-E512/2))/(1-Inputs!$B$61*Inputs!$B$69/(2*(1-Inputs!$B$70))))</f>
        <v>0</v>
      </c>
      <c r="F514" s="47" t="n">
        <f aca="false">IF(F513&gt;=Inputs!$B$68,0,(Inputs!$B$68-F510-F509+F512-Inputs!$B$60*(F510+Inputs!$B$68)/2+Inputs!$B$61*(F511-F512/2))/(1-Inputs!$B$61*Inputs!$B$69/(2*(1-Inputs!$B$70))))</f>
        <v>0</v>
      </c>
    </row>
    <row r="515" customFormat="false" ht="15" hidden="false" customHeight="false" outlineLevel="0" collapsed="false">
      <c r="A515" s="10" t="s">
        <v>549</v>
      </c>
      <c r="C515" s="47" t="n">
        <f aca="false">C514/(1-Inputs!$B$70)</f>
        <v>0</v>
      </c>
      <c r="D515" s="47" t="n">
        <f aca="false">D514/(1-Inputs!$B$70)</f>
        <v>33.9453285822261</v>
      </c>
      <c r="E515" s="47" t="n">
        <f aca="false">E514/(1-Inputs!$B$70)</f>
        <v>0</v>
      </c>
      <c r="F515" s="47" t="n">
        <f aca="false">F514/(1-Inputs!$B$70)</f>
        <v>0</v>
      </c>
    </row>
    <row r="516" customFormat="false" ht="15" hidden="false" customHeight="false" outlineLevel="0" collapsed="false">
      <c r="A516" s="10" t="s">
        <v>550</v>
      </c>
      <c r="C516" s="47" t="n">
        <f aca="false">C515*Inputs!$B$69</f>
        <v>0</v>
      </c>
      <c r="D516" s="47" t="n">
        <f aca="false">D515*Inputs!$B$69</f>
        <v>33.9453285822261</v>
      </c>
      <c r="E516" s="47" t="n">
        <f aca="false">E515*Inputs!$B$69</f>
        <v>0</v>
      </c>
      <c r="F516" s="47" t="n">
        <f aca="false">F515*Inputs!$B$69</f>
        <v>0</v>
      </c>
    </row>
    <row r="517" customFormat="false" ht="15" hidden="false" customHeight="false" outlineLevel="0" collapsed="false">
      <c r="A517" s="10" t="s">
        <v>551</v>
      </c>
      <c r="C517" s="47" t="n">
        <f aca="false">C515-C516</f>
        <v>0</v>
      </c>
      <c r="D517" s="47" t="n">
        <f aca="false">D515-D516</f>
        <v>0</v>
      </c>
      <c r="E517" s="47" t="n">
        <f aca="false">E515-E516</f>
        <v>0</v>
      </c>
      <c r="F517" s="47" t="n">
        <f aca="false">F515-F516</f>
        <v>0</v>
      </c>
    </row>
    <row r="518" customFormat="false" ht="15" hidden="false" customHeight="false" outlineLevel="0" collapsed="false">
      <c r="A518" s="10" t="s">
        <v>552</v>
      </c>
      <c r="C518" s="47" t="n">
        <f aca="false">C515-C514</f>
        <v>0</v>
      </c>
      <c r="D518" s="47" t="n">
        <f aca="false">D515-D514</f>
        <v>0.339453285822259</v>
      </c>
      <c r="E518" s="47" t="n">
        <f aca="false">E515-E514</f>
        <v>0</v>
      </c>
      <c r="F518" s="47" t="n">
        <f aca="false">F515-F514</f>
        <v>0</v>
      </c>
    </row>
    <row r="519" customFormat="false" ht="15" hidden="false" customHeight="false" outlineLevel="0" collapsed="false">
      <c r="A519" s="10" t="s">
        <v>553</v>
      </c>
      <c r="C519" s="47" t="n">
        <f aca="false">Inputs!$B$60*(C510+C521)/2</f>
        <v>2.78461943984581</v>
      </c>
      <c r="D519" s="47" t="n">
        <f aca="false">Inputs!$B$60*(D510+D521)/2</f>
        <v>0.984813309192548</v>
      </c>
      <c r="E519" s="47" t="n">
        <f aca="false">Inputs!$B$60*(E510+E521)/2</f>
        <v>0.663778570054742</v>
      </c>
      <c r="F519" s="47" t="n">
        <f aca="false">Inputs!$B$60*(F510+F521)/2</f>
        <v>2.72470212319496</v>
      </c>
    </row>
    <row r="520" customFormat="false" ht="15" hidden="false" customHeight="false" outlineLevel="0" collapsed="false">
      <c r="A520" s="10" t="s">
        <v>554</v>
      </c>
      <c r="C520" s="47" t="n">
        <f aca="false">Inputs!$B$61*(C511-C512/2+C516/2)</f>
        <v>2.90202</v>
      </c>
      <c r="D520" s="47" t="n">
        <f aca="false">Inputs!$B$61*(D511-D512/2+D516/2)</f>
        <v>3.92037985746678</v>
      </c>
      <c r="E520" s="47" t="n">
        <f aca="false">Inputs!$B$61*(E511-E512/2+E516/2)</f>
        <v>4.93873971493357</v>
      </c>
      <c r="F520" s="47" t="n">
        <f aca="false">Inputs!$B$61*(F511-F512/2+F516/2)</f>
        <v>4.93873971493357</v>
      </c>
    </row>
    <row r="521" customFormat="false" ht="15" hidden="false" customHeight="false" outlineLevel="0" collapsed="false">
      <c r="A521" s="13" t="s">
        <v>555</v>
      </c>
      <c r="B521" s="47" t="n">
        <f aca="false">B62+B166</f>
        <v>104.990306532663</v>
      </c>
      <c r="C521" s="18" t="n">
        <f aca="false">IF(C514&gt;0,Inputs!$B$68,C513)</f>
        <v>34.2406654596274</v>
      </c>
      <c r="D521" s="18" t="n">
        <f aca="false">IF(D514&gt;0,Inputs!$B$68,D513)</f>
        <v>15</v>
      </c>
      <c r="E521" s="18" t="n">
        <f aca="false">IF(E514&gt;0,Inputs!$B$68,E513)</f>
        <v>18.1889285027371</v>
      </c>
      <c r="F521" s="18" t="n">
        <f aca="false">IF(F514&gt;0,Inputs!$B$68,F513)</f>
        <v>118.046177657011</v>
      </c>
    </row>
    <row r="522" customFormat="false" ht="15" hidden="false" customHeight="false" outlineLevel="0" collapsed="false">
      <c r="A522" s="10" t="s">
        <v>556</v>
      </c>
      <c r="B522" s="47" t="n">
        <f aca="false">B63+B167</f>
        <v>48.367</v>
      </c>
      <c r="C522" s="47" t="n">
        <f aca="false">C511-C512+C516</f>
        <v>48.367</v>
      </c>
      <c r="D522" s="47" t="n">
        <f aca="false">D511-D512+D516</f>
        <v>82.3123285822261</v>
      </c>
      <c r="E522" s="47" t="n">
        <f aca="false">E511-E512+E516</f>
        <v>82.3123285822261</v>
      </c>
      <c r="F522" s="47" t="n">
        <f aca="false">F511-F512+F516</f>
        <v>82.3123285822261</v>
      </c>
    </row>
    <row r="523" customFormat="false" ht="15" hidden="false" customHeight="false" outlineLevel="0" collapsed="false">
      <c r="A523" s="13" t="s">
        <v>557</v>
      </c>
      <c r="B523" s="18" t="n">
        <f aca="false">B521-B522</f>
        <v>56.6233065326633</v>
      </c>
      <c r="C523" s="18" t="n">
        <f aca="false">C521-C522</f>
        <v>-14.1263345403726</v>
      </c>
      <c r="D523" s="18" t="n">
        <f aca="false">D521-D522</f>
        <v>-67.3123285822261</v>
      </c>
      <c r="E523" s="18" t="n">
        <f aca="false">E521-E522</f>
        <v>-64.123400079489</v>
      </c>
      <c r="F523" s="18" t="n">
        <f aca="false">F521-F522</f>
        <v>35.7338490747846</v>
      </c>
    </row>
    <row r="524" customFormat="false" ht="15" hidden="false" customHeight="false" outlineLevel="0" collapsed="false">
      <c r="A524" s="10" t="s">
        <v>558</v>
      </c>
      <c r="C524" s="33" t="n">
        <f aca="false">ROUND(C510+C509-C512+C519-C520+C514-C521,6)</f>
        <v>0</v>
      </c>
      <c r="D524" s="33" t="n">
        <f aca="false">ROUND(D510+D509-D512+D519-D520+D514-D521,6)</f>
        <v>0</v>
      </c>
      <c r="E524" s="33" t="n">
        <f aca="false">ROUND(E510+E509-E512+E519-E520+E514-E521,6)</f>
        <v>0</v>
      </c>
      <c r="F524" s="33" t="n">
        <f aca="false">ROUND(F510+F509-F512+F519-F520+F514-F521,6)</f>
        <v>0</v>
      </c>
    </row>
    <row r="525" customFormat="false" ht="15" hidden="false" customHeight="false" outlineLevel="0" collapsed="false">
      <c r="A525" s="10" t="s">
        <v>559</v>
      </c>
      <c r="B525" s="47" t="n">
        <f aca="false">B66+B170</f>
        <v>0</v>
      </c>
      <c r="C525" s="47" t="n">
        <f aca="false">B525+C515</f>
        <v>0</v>
      </c>
      <c r="D525" s="47" t="n">
        <f aca="false">C525+D515</f>
        <v>33.9453285822261</v>
      </c>
      <c r="E525" s="47" t="n">
        <f aca="false">D525+E515</f>
        <v>33.9453285822261</v>
      </c>
      <c r="F525" s="47" t="n">
        <f aca="false">E525+F515</f>
        <v>33.9453285822261</v>
      </c>
    </row>
    <row r="526" customFormat="false" ht="15" hidden="false" customHeight="false" outlineLevel="0" collapsed="false">
      <c r="A526" s="10" t="s">
        <v>560</v>
      </c>
      <c r="C526" s="49" t="str">
        <f aca="false">IF(C525&gt;Inputs!$B$74,"UNFUNDED: above limit",IF(C515&gt;0,"Raising","OK"))</f>
        <v>OK</v>
      </c>
      <c r="D526" s="49" t="str">
        <f aca="false">IF(D525&gt;Inputs!$B$74,"UNFUNDED: above limit",IF(D515&gt;0,"Raising","OK"))</f>
        <v>Raising</v>
      </c>
      <c r="E526" s="49" t="str">
        <f aca="false">IF(E525&gt;Inputs!$B$74,"UNFUNDED: above limit",IF(E515&gt;0,"Raising","OK"))</f>
        <v>OK</v>
      </c>
      <c r="F526" s="49" t="str">
        <f aca="false">IF(F525&gt;Inputs!$B$74,"UNFUNDED: above limit",IF(F515&gt;0,"Raising","OK"))</f>
        <v>OK</v>
      </c>
    </row>
    <row r="527" customFormat="false" ht="15" hidden="false" customHeight="false" outlineLevel="0" collapsed="false">
      <c r="A527" s="10" t="s">
        <v>655</v>
      </c>
      <c r="C527" s="25" t="n">
        <f aca="false">1/(1+Inputs!$B$6)^1</f>
        <v>0.900900900900901</v>
      </c>
      <c r="D527" s="25" t="n">
        <f aca="false">1/(1+Inputs!$B$6)^2</f>
        <v>0.811622433244055</v>
      </c>
      <c r="E527" s="25" t="n">
        <f aca="false">1/(1+Inputs!$B$6)^3</f>
        <v>0.73119138130095</v>
      </c>
      <c r="F527" s="25" t="n">
        <f aca="false">1/(1+Inputs!$B$6)^4</f>
        <v>0.658730974145</v>
      </c>
    </row>
    <row r="529" customFormat="false" ht="15" hidden="false" customHeight="false" outlineLevel="0" collapsed="false">
      <c r="A529" s="8" t="s">
        <v>656</v>
      </c>
      <c r="B529" s="9" t="s">
        <v>495</v>
      </c>
      <c r="C529" s="9" t="s">
        <v>496</v>
      </c>
      <c r="D529" s="9" t="s">
        <v>497</v>
      </c>
      <c r="E529" s="9" t="s">
        <v>498</v>
      </c>
      <c r="F529" s="9" t="s">
        <v>499</v>
      </c>
    </row>
    <row r="530" customFormat="false" ht="15" hidden="false" customHeight="false" outlineLevel="0" collapsed="false">
      <c r="A530" s="10" t="s">
        <v>543</v>
      </c>
      <c r="C530" s="47" t="n">
        <f aca="false">C50+C154+C473+C496</f>
        <v>-72.7044421559758</v>
      </c>
      <c r="D530" s="47" t="n">
        <f aca="false">D50+D154+D473+D496</f>
        <v>-52.8794268390096</v>
      </c>
      <c r="E530" s="47" t="n">
        <f aca="false">E50+E154+E473+E496</f>
        <v>4.93513758925369</v>
      </c>
      <c r="F530" s="47" t="n">
        <f aca="false">F50+F154+F473+F496</f>
        <v>98.997676316797</v>
      </c>
    </row>
    <row r="531" customFormat="false" ht="15" hidden="false" customHeight="false" outlineLevel="0" collapsed="false">
      <c r="A531" s="10" t="s">
        <v>544</v>
      </c>
      <c r="C531" s="47" t="n">
        <f aca="false">B542</f>
        <v>104.990306532663</v>
      </c>
      <c r="D531" s="47" t="n">
        <f aca="false">C542</f>
        <v>32.1261739870825</v>
      </c>
      <c r="E531" s="47" t="n">
        <f aca="false">D542</f>
        <v>15</v>
      </c>
      <c r="F531" s="47" t="n">
        <f aca="false">E542</f>
        <v>15.2817048505021</v>
      </c>
    </row>
    <row r="532" customFormat="false" ht="15" hidden="false" customHeight="false" outlineLevel="0" collapsed="false">
      <c r="A532" s="10" t="s">
        <v>545</v>
      </c>
      <c r="C532" s="47" t="n">
        <f aca="false">B543</f>
        <v>48.367</v>
      </c>
      <c r="D532" s="47" t="n">
        <f aca="false">C543</f>
        <v>48.367</v>
      </c>
      <c r="E532" s="47" t="n">
        <f aca="false">D543</f>
        <v>87.6511139293599</v>
      </c>
      <c r="F532" s="47" t="n">
        <f aca="false">E543</f>
        <v>87.6511139293599</v>
      </c>
    </row>
    <row r="533" customFormat="false" ht="15" hidden="false" customHeight="false" outlineLevel="0" collapsed="false">
      <c r="A533" s="10" t="s">
        <v>546</v>
      </c>
      <c r="C533" s="47" t="n">
        <f aca="false">Inputs!$B$62+Inputs!$B$63</f>
        <v>0</v>
      </c>
      <c r="D533" s="26" t="n">
        <v>0</v>
      </c>
      <c r="E533" s="26" t="n">
        <v>0</v>
      </c>
      <c r="F533" s="26" t="n">
        <v>0</v>
      </c>
    </row>
    <row r="534" customFormat="false" ht="15" hidden="false" customHeight="false" outlineLevel="0" collapsed="false">
      <c r="A534" s="10" t="s">
        <v>547</v>
      </c>
      <c r="C534" s="47" t="n">
        <f aca="false">(C531+C530-C533+Inputs!$B$60*C531/2-Inputs!$B$61*(C532-C533/2))/(1-Inputs!$B$60/2)</f>
        <v>32.1261739870825</v>
      </c>
      <c r="D534" s="47" t="n">
        <f aca="false">(D531+D530-D533+Inputs!$B$60*D531/2-Inputs!$B$61*(D532-D533/2))/(1-Inputs!$B$60/2)</f>
        <v>-23.4823973185566</v>
      </c>
      <c r="E534" s="47" t="n">
        <f aca="false">(E531+E530-E533+Inputs!$B$60*E531/2-Inputs!$B$61*(E532-E533/2))/(1-Inputs!$B$60/2)</f>
        <v>15.2817048505021</v>
      </c>
      <c r="F534" s="47" t="n">
        <f aca="false">(F531+F530-F533+Inputs!$B$60*F531/2-Inputs!$B$61*(F532-F533/2))/(1-Inputs!$B$60/2)</f>
        <v>111.557090233212</v>
      </c>
    </row>
    <row r="535" customFormat="false" ht="15" hidden="false" customHeight="false" outlineLevel="0" collapsed="false">
      <c r="A535" s="10" t="s">
        <v>548</v>
      </c>
      <c r="C535" s="47" t="n">
        <f aca="false">IF(C534&gt;=Inputs!$B$68,0,(Inputs!$B$68-C531-C530+C533-Inputs!$B$60*(C531+Inputs!$B$68)/2+Inputs!$B$61*(C532-C533/2))/(1-Inputs!$B$61*Inputs!$B$69/(2*(1-Inputs!$B$70))))</f>
        <v>0</v>
      </c>
      <c r="D535" s="47" t="n">
        <f aca="false">IF(D534&gt;=Inputs!$B$68,0,(Inputs!$B$68-D531-D530+D533-Inputs!$B$60*(D531+Inputs!$B$68)/2+Inputs!$B$61*(D532-D533/2))/(1-Inputs!$B$61*Inputs!$B$69/(2*(1-Inputs!$B$70))))</f>
        <v>38.8912727900663</v>
      </c>
      <c r="E535" s="47" t="n">
        <f aca="false">IF(E534&gt;=Inputs!$B$68,0,(Inputs!$B$68-E531-E530+E533-Inputs!$B$60*(E531+Inputs!$B$68)/2+Inputs!$B$61*(E532-E533/2))/(1-Inputs!$B$61*Inputs!$B$69/(2*(1-Inputs!$B$70))))</f>
        <v>0</v>
      </c>
      <c r="F535" s="47" t="n">
        <f aca="false">IF(F534&gt;=Inputs!$B$68,0,(Inputs!$B$68-F531-F530+F533-Inputs!$B$60*(F531+Inputs!$B$68)/2+Inputs!$B$61*(F532-F533/2))/(1-Inputs!$B$61*Inputs!$B$69/(2*(1-Inputs!$B$70))))</f>
        <v>0</v>
      </c>
    </row>
    <row r="536" customFormat="false" ht="15" hidden="false" customHeight="false" outlineLevel="0" collapsed="false">
      <c r="A536" s="10" t="s">
        <v>549</v>
      </c>
      <c r="C536" s="47" t="n">
        <f aca="false">C535/(1-Inputs!$B$70)</f>
        <v>0</v>
      </c>
      <c r="D536" s="47" t="n">
        <f aca="false">D535/(1-Inputs!$B$70)</f>
        <v>39.2841139293599</v>
      </c>
      <c r="E536" s="47" t="n">
        <f aca="false">E535/(1-Inputs!$B$70)</f>
        <v>0</v>
      </c>
      <c r="F536" s="47" t="n">
        <f aca="false">F535/(1-Inputs!$B$70)</f>
        <v>0</v>
      </c>
    </row>
    <row r="537" customFormat="false" ht="15" hidden="false" customHeight="false" outlineLevel="0" collapsed="false">
      <c r="A537" s="10" t="s">
        <v>550</v>
      </c>
      <c r="C537" s="47" t="n">
        <f aca="false">C536*Inputs!$B$69</f>
        <v>0</v>
      </c>
      <c r="D537" s="47" t="n">
        <f aca="false">D536*Inputs!$B$69</f>
        <v>39.2841139293599</v>
      </c>
      <c r="E537" s="47" t="n">
        <f aca="false">E536*Inputs!$B$69</f>
        <v>0</v>
      </c>
      <c r="F537" s="47" t="n">
        <f aca="false">F536*Inputs!$B$69</f>
        <v>0</v>
      </c>
    </row>
    <row r="538" customFormat="false" ht="15" hidden="false" customHeight="false" outlineLevel="0" collapsed="false">
      <c r="A538" s="10" t="s">
        <v>551</v>
      </c>
      <c r="C538" s="47" t="n">
        <f aca="false">C536-C537</f>
        <v>0</v>
      </c>
      <c r="D538" s="47" t="n">
        <f aca="false">D536-D537</f>
        <v>0</v>
      </c>
      <c r="E538" s="47" t="n">
        <f aca="false">E536-E537</f>
        <v>0</v>
      </c>
      <c r="F538" s="47" t="n">
        <f aca="false">F536-F537</f>
        <v>0</v>
      </c>
    </row>
    <row r="539" customFormat="false" ht="15" hidden="false" customHeight="false" outlineLevel="0" collapsed="false">
      <c r="A539" s="10" t="s">
        <v>552</v>
      </c>
      <c r="C539" s="47" t="n">
        <f aca="false">C536-C535</f>
        <v>0</v>
      </c>
      <c r="D539" s="47" t="n">
        <f aca="false">D536-D535</f>
        <v>0.392841139293601</v>
      </c>
      <c r="E539" s="47" t="n">
        <f aca="false">E536-E535</f>
        <v>0</v>
      </c>
      <c r="F539" s="47" t="n">
        <f aca="false">F536-F535</f>
        <v>0</v>
      </c>
    </row>
    <row r="540" customFormat="false" ht="15" hidden="false" customHeight="false" outlineLevel="0" collapsed="false">
      <c r="A540" s="10" t="s">
        <v>553</v>
      </c>
      <c r="C540" s="47" t="n">
        <f aca="false">Inputs!$B$60*(C531+C542)/2</f>
        <v>2.74232961039492</v>
      </c>
      <c r="D540" s="47" t="n">
        <f aca="false">Inputs!$B$60*(D531+D542)/2</f>
        <v>0.942523479741649</v>
      </c>
      <c r="E540" s="47" t="n">
        <f aca="false">Inputs!$B$60*(E531+E542)/2</f>
        <v>0.605634097010043</v>
      </c>
      <c r="F540" s="47" t="n">
        <f aca="false">Inputs!$B$60*(F531+F542)/2</f>
        <v>2.53677590167428</v>
      </c>
    </row>
    <row r="541" customFormat="false" ht="15" hidden="false" customHeight="false" outlineLevel="0" collapsed="false">
      <c r="A541" s="10" t="s">
        <v>554</v>
      </c>
      <c r="C541" s="47" t="n">
        <f aca="false">Inputs!$B$61*(C532-C533/2+C537/2)</f>
        <v>2.90202</v>
      </c>
      <c r="D541" s="47" t="n">
        <f aca="false">Inputs!$B$61*(D532-D533/2+D537/2)</f>
        <v>4.0805434178808</v>
      </c>
      <c r="E541" s="47" t="n">
        <f aca="false">Inputs!$B$61*(E532-E533/2+E537/2)</f>
        <v>5.25906683576159</v>
      </c>
      <c r="F541" s="47" t="n">
        <f aca="false">Inputs!$B$61*(F532-F533/2+F537/2)</f>
        <v>5.25906683576159</v>
      </c>
    </row>
    <row r="542" customFormat="false" ht="15" hidden="false" customHeight="false" outlineLevel="0" collapsed="false">
      <c r="A542" s="13" t="s">
        <v>555</v>
      </c>
      <c r="B542" s="47" t="n">
        <f aca="false">B62+B166</f>
        <v>104.990306532663</v>
      </c>
      <c r="C542" s="18" t="n">
        <f aca="false">IF(C535&gt;0,Inputs!$B$68,C534)</f>
        <v>32.1261739870825</v>
      </c>
      <c r="D542" s="18" t="n">
        <f aca="false">IF(D535&gt;0,Inputs!$B$68,D534)</f>
        <v>15</v>
      </c>
      <c r="E542" s="18" t="n">
        <f aca="false">IF(E535&gt;0,Inputs!$B$68,E534)</f>
        <v>15.2817048505021</v>
      </c>
      <c r="F542" s="18" t="n">
        <f aca="false">IF(F535&gt;0,Inputs!$B$68,F534)</f>
        <v>111.557090233212</v>
      </c>
    </row>
    <row r="543" customFormat="false" ht="15" hidden="false" customHeight="false" outlineLevel="0" collapsed="false">
      <c r="A543" s="10" t="s">
        <v>556</v>
      </c>
      <c r="B543" s="47" t="n">
        <f aca="false">B63+B167</f>
        <v>48.367</v>
      </c>
      <c r="C543" s="47" t="n">
        <f aca="false">C532-C533+C537</f>
        <v>48.367</v>
      </c>
      <c r="D543" s="47" t="n">
        <f aca="false">D532-D533+D537</f>
        <v>87.6511139293599</v>
      </c>
      <c r="E543" s="47" t="n">
        <f aca="false">E532-E533+E537</f>
        <v>87.6511139293599</v>
      </c>
      <c r="F543" s="47" t="n">
        <f aca="false">F532-F533+F537</f>
        <v>87.6511139293599</v>
      </c>
    </row>
    <row r="544" customFormat="false" ht="15" hidden="false" customHeight="false" outlineLevel="0" collapsed="false">
      <c r="A544" s="13" t="s">
        <v>557</v>
      </c>
      <c r="B544" s="18" t="n">
        <f aca="false">B542-B543</f>
        <v>56.6233065326633</v>
      </c>
      <c r="C544" s="18" t="n">
        <f aca="false">C542-C543</f>
        <v>-16.2408260129176</v>
      </c>
      <c r="D544" s="18" t="n">
        <f aca="false">D542-D543</f>
        <v>-72.6511139293599</v>
      </c>
      <c r="E544" s="18" t="n">
        <f aca="false">E542-E543</f>
        <v>-72.3694090788578</v>
      </c>
      <c r="F544" s="18" t="n">
        <f aca="false">F542-F543</f>
        <v>23.9059763038519</v>
      </c>
    </row>
    <row r="545" customFormat="false" ht="15" hidden="false" customHeight="false" outlineLevel="0" collapsed="false">
      <c r="A545" s="10" t="s">
        <v>558</v>
      </c>
      <c r="C545" s="33" t="n">
        <f aca="false">ROUND(C531+C530-C533+C540-C541+C535-C542,6)</f>
        <v>0</v>
      </c>
      <c r="D545" s="33" t="n">
        <f aca="false">ROUND(D531+D530-D533+D540-D541+D535-D542,6)</f>
        <v>0</v>
      </c>
      <c r="E545" s="33" t="n">
        <f aca="false">ROUND(E531+E530-E533+E540-E541+E535-E542,6)</f>
        <v>0</v>
      </c>
      <c r="F545" s="33" t="n">
        <f aca="false">ROUND(F531+F530-F533+F540-F541+F535-F542,6)</f>
        <v>0</v>
      </c>
    </row>
    <row r="546" customFormat="false" ht="15" hidden="false" customHeight="false" outlineLevel="0" collapsed="false">
      <c r="A546" s="10" t="s">
        <v>559</v>
      </c>
      <c r="B546" s="47" t="n">
        <f aca="false">B66+B170</f>
        <v>0</v>
      </c>
      <c r="C546" s="47" t="n">
        <f aca="false">B546+C536</f>
        <v>0</v>
      </c>
      <c r="D546" s="47" t="n">
        <f aca="false">C546+D536</f>
        <v>39.2841139293599</v>
      </c>
      <c r="E546" s="47" t="n">
        <f aca="false">D546+E536</f>
        <v>39.2841139293599</v>
      </c>
      <c r="F546" s="47" t="n">
        <f aca="false">E546+F536</f>
        <v>39.2841139293599</v>
      </c>
    </row>
    <row r="547" customFormat="false" ht="15" hidden="false" customHeight="false" outlineLevel="0" collapsed="false">
      <c r="A547" s="10" t="s">
        <v>560</v>
      </c>
      <c r="C547" s="49" t="str">
        <f aca="false">IF(C546&gt;Inputs!$B$74,"UNFUNDED: above limit",IF(C536&gt;0,"Raising","OK"))</f>
        <v>OK</v>
      </c>
      <c r="D547" s="49" t="str">
        <f aca="false">IF(D546&gt;Inputs!$B$74,"UNFUNDED: above limit",IF(D536&gt;0,"Raising","OK"))</f>
        <v>Raising</v>
      </c>
      <c r="E547" s="49" t="str">
        <f aca="false">IF(E546&gt;Inputs!$B$74,"UNFUNDED: above limit",IF(E536&gt;0,"Raising","OK"))</f>
        <v>OK</v>
      </c>
      <c r="F547" s="49" t="str">
        <f aca="false">IF(F546&gt;Inputs!$B$74,"UNFUNDED: above limit",IF(F536&gt;0,"Raising","OK"))</f>
        <v>OK</v>
      </c>
    </row>
    <row r="549" customFormat="false" ht="15" hidden="false" customHeight="false" outlineLevel="0" collapsed="false">
      <c r="A549" s="8" t="s">
        <v>657</v>
      </c>
      <c r="B549" s="9"/>
      <c r="C549" s="9"/>
      <c r="D549" s="9" t="s">
        <v>379</v>
      </c>
      <c r="E549" s="9" t="s">
        <v>426</v>
      </c>
      <c r="F549" s="9" t="s">
        <v>658</v>
      </c>
    </row>
    <row r="550" customFormat="false" ht="15" hidden="false" customHeight="false" outlineLevel="0" collapsed="false">
      <c r="A550" s="10" t="s">
        <v>659</v>
      </c>
      <c r="D550" s="16" t="n">
        <f aca="false">$B$68</f>
        <v>76.6988166909882</v>
      </c>
      <c r="E550" s="16" t="n">
        <f aca="false">$B$172</f>
        <v>20.2205677558718</v>
      </c>
      <c r="F550" s="47" t="n">
        <f aca="false">$F$504</f>
        <v>106.300188880744</v>
      </c>
    </row>
    <row r="551" customFormat="false" ht="15" hidden="false" customHeight="false" outlineLevel="0" collapsed="false">
      <c r="A551" s="10" t="s">
        <v>660</v>
      </c>
      <c r="D551" s="16" t="n">
        <f aca="false">$B$70</f>
        <v>58.1683825784455</v>
      </c>
      <c r="E551" s="16" t="n">
        <f aca="false">$B$174</f>
        <v>15.3352785860532</v>
      </c>
      <c r="F551" s="47" t="n">
        <f aca="false">D551+E551+($F$447+$F$493)*(1-Inputs!$B$79)</f>
        <v>80.6180632471562</v>
      </c>
    </row>
    <row r="552" customFormat="false" ht="15" hidden="false" customHeight="false" outlineLevel="0" collapsed="false">
      <c r="A552" s="10" t="s">
        <v>661</v>
      </c>
      <c r="D552" s="50" t="n">
        <f aca="false">$B$71</f>
        <v>35</v>
      </c>
      <c r="E552" s="50" t="n">
        <f aca="false">$B$175</f>
        <v>40</v>
      </c>
      <c r="F552" s="48" t="n">
        <f aca="false">IFERROR(F553/(F551*$F$527),0)</f>
        <v>35.0686244729885</v>
      </c>
    </row>
    <row r="553" customFormat="false" ht="15" hidden="false" customHeight="false" outlineLevel="0" collapsed="false">
      <c r="A553" s="10" t="s">
        <v>662</v>
      </c>
      <c r="D553" s="16" t="n">
        <f aca="false">$B$72</f>
        <v>1341.10603621185</v>
      </c>
      <c r="E553" s="16" t="n">
        <f aca="false">$B$176</f>
        <v>404.07292007103</v>
      </c>
      <c r="F553" s="47" t="n">
        <f aca="false">D553+E553+($F$447+$F$493)*(1-Inputs!$B$79)*Inputs!$B$30*$F$527</f>
        <v>1862.34088164208</v>
      </c>
    </row>
    <row r="554" customFormat="false" ht="15" hidden="false" customHeight="false" outlineLevel="0" collapsed="false">
      <c r="A554" s="10" t="s">
        <v>663</v>
      </c>
      <c r="D554" s="16" t="n">
        <f aca="false">$B$73</f>
        <v>-128.209026141234</v>
      </c>
      <c r="E554" s="16" t="n">
        <f aca="false">$B$177</f>
        <v>1.18039386576117</v>
      </c>
      <c r="F554" s="47" t="n">
        <f aca="false">SUMPRODUCT($C$508:$F$508,$C$527:$F$527)</f>
        <v>-109.594311832172</v>
      </c>
    </row>
    <row r="555" customFormat="false" ht="15" hidden="false" customHeight="false" outlineLevel="0" collapsed="false">
      <c r="A555" s="13" t="s">
        <v>567</v>
      </c>
      <c r="D555" s="16" t="n">
        <f aca="false">$B$74</f>
        <v>1212.89701007061</v>
      </c>
      <c r="E555" s="16" t="n">
        <f aca="false">$B$178</f>
        <v>405.253313936792</v>
      </c>
      <c r="F555" s="18" t="n">
        <f aca="false">F553+F554</f>
        <v>1752.74656980991</v>
      </c>
    </row>
    <row r="556" customFormat="false" ht="15" hidden="false" customHeight="false" outlineLevel="0" collapsed="false">
      <c r="A556" s="10" t="s">
        <v>664</v>
      </c>
      <c r="D556" s="16" t="n">
        <f aca="false">$B$75</f>
        <v>30.3106950103572</v>
      </c>
      <c r="E556" s="16" t="n">
        <f aca="false">$B$179</f>
        <v>7.12220617725558</v>
      </c>
      <c r="F556" s="47" t="n">
        <f aca="false">D556+E556+$B$451+$B$497</f>
        <v>47.2904899953058</v>
      </c>
    </row>
    <row r="557" customFormat="false" ht="15" hidden="false" customHeight="false" outlineLevel="0" collapsed="false">
      <c r="A557" s="10" t="s">
        <v>665</v>
      </c>
      <c r="D557" s="50" t="n">
        <f aca="false">$B$76</f>
        <v>30</v>
      </c>
      <c r="E557" s="50" t="n">
        <f aca="false">$B$180</f>
        <v>32</v>
      </c>
      <c r="F557" s="48" t="n">
        <f aca="false">IFERROR(F558/(F556*$F$527),0)</f>
        <v>28.2167349982885</v>
      </c>
    </row>
    <row r="558" customFormat="false" ht="15" hidden="false" customHeight="false" outlineLevel="0" collapsed="false">
      <c r="A558" s="10" t="s">
        <v>666</v>
      </c>
      <c r="D558" s="16" t="n">
        <f aca="false">$B$77</f>
        <v>598.997809535538</v>
      </c>
      <c r="E558" s="16" t="n">
        <f aca="false">$B$181</f>
        <v>150.131770022563</v>
      </c>
      <c r="F558" s="47" t="n">
        <f aca="false">D558+E558+($B$451+$B$497)*Inputs!$B$31*$F$527</f>
        <v>878.99956111835</v>
      </c>
    </row>
    <row r="559" customFormat="false" ht="15" hidden="false" customHeight="false" outlineLevel="0" collapsed="false">
      <c r="A559" s="13" t="s">
        <v>571</v>
      </c>
      <c r="D559" s="16" t="n">
        <f aca="false">$B$78</f>
        <v>470.788783394304</v>
      </c>
      <c r="E559" s="16" t="n">
        <f aca="false">$B$182</f>
        <v>151.312163888325</v>
      </c>
      <c r="F559" s="18" t="n">
        <f aca="false">F554+F558</f>
        <v>769.405249286179</v>
      </c>
    </row>
    <row r="560" customFormat="false" ht="15" hidden="false" customHeight="false" outlineLevel="0" collapsed="false">
      <c r="A560" s="10" t="s">
        <v>572</v>
      </c>
      <c r="D560" s="47" t="n">
        <f aca="false">$B$79</f>
        <v>841.842896732458</v>
      </c>
      <c r="E560" s="47" t="n">
        <f aca="false">$B$183</f>
        <v>278.282738912558</v>
      </c>
      <c r="F560" s="47" t="n">
        <f aca="false">F555*Inputs!$B$7+F559*(1-Inputs!$B$7)</f>
        <v>1261.07590954804</v>
      </c>
    </row>
    <row r="561" customFormat="false" ht="15" hidden="false" customHeight="false" outlineLevel="0" collapsed="false">
      <c r="A561" s="10" t="s">
        <v>667</v>
      </c>
      <c r="D561" s="26" t="n">
        <v>0</v>
      </c>
      <c r="E561" s="26" t="n">
        <v>0</v>
      </c>
      <c r="F561" s="47" t="n">
        <f aca="false">Inputs!$B$9*(D560+E560)</f>
        <v>0</v>
      </c>
    </row>
    <row r="562" customFormat="false" ht="15" hidden="false" customHeight="false" outlineLevel="0" collapsed="false">
      <c r="A562" s="13" t="s">
        <v>668</v>
      </c>
      <c r="D562" s="18" t="n">
        <f aca="false">$B$79</f>
        <v>841.842896732458</v>
      </c>
      <c r="E562" s="18" t="n">
        <f aca="false">$B$183</f>
        <v>278.282738912558</v>
      </c>
      <c r="F562" s="18" t="n">
        <f aca="false">F560+F561</f>
        <v>1261.07590954804</v>
      </c>
    </row>
    <row r="563" customFormat="false" ht="15" hidden="false" customHeight="false" outlineLevel="0" collapsed="false">
      <c r="A563" s="10" t="s">
        <v>669</v>
      </c>
      <c r="D563" s="49" t="str">
        <f aca="false">IFERROR(TEXT(D553/D555,"0%")&amp;" / "&amp;TEXT(D558/D559,"0%"),"n/a")</f>
        <v>111% / 127%</v>
      </c>
      <c r="E563" s="49" t="str">
        <f aca="false">IFERROR(TEXT(E553/E555,"0%")&amp;" / "&amp;TEXT(E558/E559,"0%"),"n/a")</f>
        <v>100% / 99%</v>
      </c>
      <c r="F563" s="49" t="str">
        <f aca="false">IFERROR(TEXT(F553/F555,"0%")&amp;" / "&amp;TEXT(F558/F559,"0%"),"n/a")</f>
        <v>106% / 114%</v>
      </c>
    </row>
    <row r="564" customFormat="false" ht="15" hidden="false" customHeight="false" outlineLevel="0" collapsed="false">
      <c r="A564" s="10" t="s">
        <v>670</v>
      </c>
      <c r="D564" s="16" t="n">
        <f aca="false">$B$97</f>
        <v>13.7367709854157</v>
      </c>
      <c r="E564" s="16" t="n">
        <f aca="false">$B$201</f>
        <v>0</v>
      </c>
      <c r="F564" s="47" t="n">
        <f aca="false">D564+E564</f>
        <v>13.7367709854157</v>
      </c>
    </row>
    <row r="565" customFormat="false" ht="15" hidden="false" customHeight="false" outlineLevel="0" collapsed="false">
      <c r="A565" s="10" t="s">
        <v>671</v>
      </c>
      <c r="D565" s="16" t="n">
        <f aca="false">$B$98</f>
        <v>23.7566180904523</v>
      </c>
      <c r="E565" s="16" t="n">
        <f aca="false">$B$202</f>
        <v>32.8666884422111</v>
      </c>
      <c r="F565" s="47" t="n">
        <f aca="false">$B$523</f>
        <v>56.6233065326633</v>
      </c>
    </row>
    <row r="566" customFormat="false" ht="15" hidden="false" customHeight="false" outlineLevel="0" collapsed="false">
      <c r="A566" s="10" t="s">
        <v>672</v>
      </c>
      <c r="D566" s="16" t="n">
        <f aca="false">$B$99</f>
        <v>0</v>
      </c>
      <c r="E566" s="16" t="n">
        <f aca="false">$B$203</f>
        <v>1.20076658132288</v>
      </c>
      <c r="F566" s="26" t="n">
        <v>0</v>
      </c>
    </row>
    <row r="567" customFormat="false" ht="15" hidden="false" customHeight="false" outlineLevel="0" collapsed="false">
      <c r="A567" s="10" t="s">
        <v>673</v>
      </c>
      <c r="D567" s="16" t="n">
        <f aca="false">$B$100</f>
        <v>0.82909339692004</v>
      </c>
      <c r="E567" s="16" t="n">
        <f aca="false">$B$204</f>
        <v>0</v>
      </c>
      <c r="F567" s="47" t="n">
        <f aca="false">SUMPRODUCT($C$518:$F$518,$C$527:$F$527)</f>
        <v>0.275507901811751</v>
      </c>
    </row>
    <row r="568" customFormat="false" ht="15" hidden="false" customHeight="false" outlineLevel="0" collapsed="false">
      <c r="A568" s="13" t="s">
        <v>674</v>
      </c>
      <c r="D568" s="16" t="n">
        <f aca="false">$B$101</f>
        <v>878.507192411406</v>
      </c>
      <c r="E568" s="16" t="n">
        <f aca="false">$B$205</f>
        <v>312.350193936092</v>
      </c>
      <c r="F568" s="18" t="n">
        <f aca="false">F562+F564+F565-F567</f>
        <v>1331.16047916431</v>
      </c>
    </row>
    <row r="569" customFormat="false" ht="15" hidden="false" customHeight="false" outlineLevel="0" collapsed="false">
      <c r="A569" s="10" t="s">
        <v>675</v>
      </c>
      <c r="D569" s="20" t="n">
        <f aca="false">$B$102</f>
        <v>14.1934659057591</v>
      </c>
      <c r="E569" s="20" t="n">
        <f aca="false">$B$206</f>
        <v>3.967329173</v>
      </c>
      <c r="F569" s="25" t="n">
        <f aca="false">Deal!$B$19+$B$104+$B$208*Deal!$B$10</f>
        <v>26.2650455921569</v>
      </c>
    </row>
    <row r="570" customFormat="false" ht="15" hidden="false" customHeight="false" outlineLevel="0" collapsed="false">
      <c r="A570" s="10" t="s">
        <v>676</v>
      </c>
      <c r="D570" s="20" t="n">
        <f aca="false">$B$107</f>
        <v>0</v>
      </c>
      <c r="E570" s="20" t="n">
        <f aca="false">$B$211</f>
        <v>0</v>
      </c>
      <c r="F570" s="25" t="n">
        <f aca="false">IFERROR(F571/(F568/F569*(1-Inputs!$B$71)),0)</f>
        <v>0</v>
      </c>
    </row>
    <row r="571" customFormat="false" ht="15" hidden="false" customHeight="false" outlineLevel="0" collapsed="false">
      <c r="A571" s="10" t="s">
        <v>677</v>
      </c>
      <c r="D571" s="16" t="n">
        <f aca="false">$B$106</f>
        <v>0</v>
      </c>
      <c r="E571" s="16" t="n">
        <f aca="false">$B$210</f>
        <v>0</v>
      </c>
      <c r="F571" s="47" t="n">
        <f aca="false">SUMPRODUCT($C$517:$F$517,$C$527:$F$527)</f>
        <v>0</v>
      </c>
    </row>
    <row r="572" customFormat="false" ht="15" hidden="false" customHeight="false" outlineLevel="0" collapsed="false">
      <c r="A572" s="10" t="s">
        <v>600</v>
      </c>
      <c r="D572" s="17" t="str">
        <f aca="false">$B$109</f>
        <v>OK</v>
      </c>
      <c r="E572" s="17" t="str">
        <f aca="false">$B$213</f>
        <v>OK</v>
      </c>
      <c r="F572" s="49" t="str">
        <f aca="false">IF($F$525&gt;Inputs!$B$74,"Not meaningful: funding need above limit",IF(OR(F551&lt;=0,F556&lt;=0),"Not meaningful: 2030 profit or cash flow negative",IF(OR(F555&lt;=0,F559&lt;=0),"Not meaningful: a method gives zero or negative value",IF(F568&lt;=0,"Not meaningful: value at or below zero","OK"))))</f>
        <v>OK</v>
      </c>
    </row>
    <row r="573" customFormat="false" ht="15" hidden="false" customHeight="false" outlineLevel="0" collapsed="false">
      <c r="A573" s="13" t="s">
        <v>678</v>
      </c>
      <c r="D573" s="14" t="n">
        <f aca="false">$B$110</f>
        <v>61.8951846042724</v>
      </c>
      <c r="E573" s="14" t="n">
        <f aca="false">$B$214</f>
        <v>78.7305969118515</v>
      </c>
      <c r="F573" s="15" t="n">
        <f aca="false">IF(F572="OK",(F568+F571)/(F569+F570),"unresolved")</f>
        <v>50.6818263266908</v>
      </c>
    </row>
    <row r="574" customFormat="false" ht="15" hidden="false" customHeight="false" outlineLevel="0" collapsed="false">
      <c r="A574" s="10" t="s">
        <v>602</v>
      </c>
      <c r="D574" s="47" t="n">
        <f aca="false">$B$111</f>
        <v>878.507192411406</v>
      </c>
      <c r="E574" s="47" t="n">
        <f aca="false">$B$215</f>
        <v>312.350193936092</v>
      </c>
      <c r="F574" s="47" t="n">
        <f aca="false">IF(ISNUMBER(F573),F573*F569,"unresolved")</f>
        <v>1331.16047916431</v>
      </c>
    </row>
    <row r="575" customFormat="false" ht="15" hidden="false" customHeight="false" outlineLevel="0" collapsed="false">
      <c r="A575" s="10" t="s">
        <v>679</v>
      </c>
      <c r="D575" s="16" t="n">
        <f aca="false">$B$112</f>
        <v>0</v>
      </c>
      <c r="E575" s="16" t="n">
        <f aca="false">$B$216</f>
        <v>0</v>
      </c>
      <c r="F575" s="47" t="n">
        <f aca="false">IFERROR(F568-F574,"n/a")</f>
        <v>0</v>
      </c>
    </row>
    <row r="576" customFormat="false" ht="15" hidden="false" customHeight="false" outlineLevel="0" collapsed="false">
      <c r="A576" s="10" t="s">
        <v>680</v>
      </c>
      <c r="D576" s="32" t="n">
        <f aca="false">IF(ISNUMBER(D573),(D555+D561+(D564+D565+D566-D567+D571))/(D569+D570),"unresolved")</f>
        <v>88.0377854180451</v>
      </c>
      <c r="E576" s="32" t="n">
        <f aca="false">IF(ISNUMBER(E573),(E555+E561+(E564+E565+E566-E567+E571))/(E569+E570),"unresolved")</f>
        <v>110.734640309194</v>
      </c>
      <c r="F576" s="32" t="n">
        <f aca="false">IF(ISNUMBER(F573),(F555+F561+(F564+F565+F566-F567+F571))/(F569+F570),"unresolved")</f>
        <v>69.4014077771295</v>
      </c>
    </row>
    <row r="577" customFormat="false" ht="15" hidden="false" customHeight="false" outlineLevel="0" collapsed="false">
      <c r="A577" s="10" t="s">
        <v>681</v>
      </c>
      <c r="D577" s="32" t="n">
        <f aca="false">IF(ISNUMBER(D573),(D559+D561+(D564+D565+D566-D567+D571))/(D569+D570),"unresolved")</f>
        <v>35.7525837904996</v>
      </c>
      <c r="E577" s="32" t="n">
        <f aca="false">IF(ISNUMBER(E573),(E559+E561+(E564+E565+E566-E567+E571))/(E569+E570),"unresolved")</f>
        <v>46.7265535145093</v>
      </c>
      <c r="F577" s="32" t="n">
        <f aca="false">IF(ISNUMBER(F573),(F559+F561+(F564+F565+F566-F567+F571))/(F569+F570),"unresolved")</f>
        <v>31.9622448762522</v>
      </c>
    </row>
    <row r="578" customFormat="false" ht="15" hidden="false" customHeight="false" outlineLevel="0" collapsed="false">
      <c r="A578" s="10" t="s">
        <v>682</v>
      </c>
      <c r="D578" s="14" t="n">
        <f aca="false">Inputs!$B$12</f>
        <v>147.49</v>
      </c>
      <c r="E578" s="14" t="n">
        <f aca="false">Inputs!$B$13</f>
        <v>374.58</v>
      </c>
    </row>
    <row r="579" customFormat="false" ht="15" hidden="false" customHeight="false" outlineLevel="0" collapsed="false">
      <c r="A579" s="10" t="s">
        <v>683</v>
      </c>
      <c r="D579" s="19" t="n">
        <f aca="false">IFERROR(D573/D578-1,"n/a")</f>
        <v>-0.580343178491611</v>
      </c>
      <c r="E579" s="19" t="n">
        <f aca="false">IFERROR(E573/E578-1,"n/a")</f>
        <v>-0.789816335864565</v>
      </c>
    </row>
    <row r="580" customFormat="false" ht="15" hidden="false" customHeight="false" outlineLevel="0" collapsed="false">
      <c r="A580" s="10" t="s">
        <v>684</v>
      </c>
      <c r="E580" s="32" t="n">
        <f aca="false">$B$223/$B$206</f>
        <v>24.961336855368</v>
      </c>
    </row>
    <row r="581" customFormat="false" ht="15" hidden="false" customHeight="false" outlineLevel="0" collapsed="false">
      <c r="A581" s="10" t="s">
        <v>685</v>
      </c>
      <c r="E581" s="32" t="n">
        <f aca="false">IFERROR(E573-E580,"unresolved")</f>
        <v>53.7692600564835</v>
      </c>
    </row>
    <row r="582" customFormat="false" ht="15" hidden="false" customHeight="false" outlineLevel="0" collapsed="false">
      <c r="A582" s="10" t="s">
        <v>686</v>
      </c>
      <c r="E582" s="14" t="n">
        <f aca="false">$B$325</f>
        <v>51.8181574148669</v>
      </c>
    </row>
    <row r="583" customFormat="false" ht="15" hidden="false" customHeight="false" outlineLevel="0" collapsed="false">
      <c r="A583" s="10" t="s">
        <v>687</v>
      </c>
      <c r="E583" s="20" t="n">
        <f aca="false">Inputs!$C$151</f>
        <v>11.9930718695424</v>
      </c>
    </row>
    <row r="584" customFormat="false" ht="15" hidden="false" customHeight="false" outlineLevel="0" collapsed="false">
      <c r="A584" s="10" t="s">
        <v>688</v>
      </c>
      <c r="E584" s="47" t="n">
        <f aca="false">IF(AND(ISNUMBER(E586),ABS(N(E586))&lt;0.5),$F$333,"no solution")</f>
        <v>239.861437390847</v>
      </c>
    </row>
    <row r="585" customFormat="false" ht="15" hidden="false" customHeight="false" outlineLevel="0" collapsed="false">
      <c r="A585" s="10" t="s">
        <v>689</v>
      </c>
      <c r="E585" s="14" t="n">
        <f aca="false">$B$429</f>
        <v>374.58</v>
      </c>
    </row>
    <row r="586" customFormat="false" ht="15" hidden="false" customHeight="false" outlineLevel="0" collapsed="false">
      <c r="A586" s="10" t="s">
        <v>690</v>
      </c>
      <c r="E586" s="32" t="n">
        <f aca="false">IFERROR(E585-E578,"n/a")</f>
        <v>0</v>
      </c>
    </row>
    <row r="587" customFormat="false" ht="15" hidden="false" customHeight="false" outlineLevel="0" collapsed="false">
      <c r="A587" s="10" t="s">
        <v>691</v>
      </c>
      <c r="F587" s="32" t="n">
        <f aca="false">IFERROR(F573*Deal!$B$10,"unresolved")</f>
        <v>154.459815625074</v>
      </c>
    </row>
    <row r="588" customFormat="false" ht="15" hidden="false" customHeight="false" outlineLevel="0" collapsed="false">
      <c r="A588" s="13" t="s">
        <v>692</v>
      </c>
      <c r="F588" s="12" t="n">
        <f aca="false">IFERROR(F573/D573-1,"unresolved")</f>
        <v>-0.181166892857244</v>
      </c>
    </row>
    <row r="589" customFormat="false" ht="15" hidden="false" customHeight="false" outlineLevel="0" collapsed="false">
      <c r="A589" s="13" t="s">
        <v>693</v>
      </c>
      <c r="F589" s="12" t="n">
        <f aca="false">IFERROR(F587/E573-1,"unresolved")</f>
        <v>0.96187786811792</v>
      </c>
    </row>
    <row r="590" customFormat="false" ht="15" hidden="false" customHeight="false" outlineLevel="0" collapsed="false">
      <c r="A590" s="10" t="s">
        <v>694</v>
      </c>
      <c r="F590" s="47" t="n">
        <f aca="false">$B$454</f>
        <v>141.461380343732</v>
      </c>
    </row>
    <row r="591" customFormat="false" ht="15" hidden="false" customHeight="false" outlineLevel="0" collapsed="false">
      <c r="A591" s="10" t="s">
        <v>695</v>
      </c>
      <c r="F591" s="47" t="n">
        <f aca="false">$B$500</f>
        <v>-0.511106440703309</v>
      </c>
    </row>
    <row r="592" customFormat="false" ht="15" hidden="false" customHeight="false" outlineLevel="0" collapsed="false">
      <c r="A592" s="10" t="s">
        <v>696</v>
      </c>
      <c r="F592" s="47" t="n">
        <f aca="false">$B$477</f>
        <v>89.060233555908</v>
      </c>
    </row>
    <row r="593" customFormat="false" ht="15" hidden="false" customHeight="false" outlineLevel="0" collapsed="false">
      <c r="A593" s="10" t="s">
        <v>697</v>
      </c>
      <c r="F593" s="47" t="n">
        <f aca="false">$F$546</f>
        <v>39.2841139293599</v>
      </c>
    </row>
    <row r="594" customFormat="false" ht="15" hidden="false" customHeight="false" outlineLevel="0" collapsed="false">
      <c r="A594" s="10" t="s">
        <v>698</v>
      </c>
      <c r="F594" s="47" t="n">
        <f aca="false">F551-($F$447-$F$470)*(1-Inputs!$B$79)</f>
        <v>77.7336213755106</v>
      </c>
    </row>
    <row r="595" customFormat="false" ht="15" hidden="false" customHeight="false" outlineLevel="0" collapsed="false">
      <c r="A595" s="10" t="s">
        <v>699</v>
      </c>
      <c r="F595" s="47" t="n">
        <f aca="false">F556-$B$451+$B$474</f>
        <v>44.1783755866276</v>
      </c>
    </row>
    <row r="596" customFormat="false" ht="15" hidden="false" customHeight="false" outlineLevel="0" collapsed="false">
      <c r="A596" s="10" t="s">
        <v>700</v>
      </c>
      <c r="F596" s="47" t="n">
        <f aca="false">F555-$B$452+$B$475</f>
        <v>1697.09499453321</v>
      </c>
    </row>
    <row r="597" customFormat="false" ht="15" hidden="false" customHeight="false" outlineLevel="0" collapsed="false">
      <c r="A597" s="10" t="s">
        <v>701</v>
      </c>
      <c r="F597" s="47" t="n">
        <f aca="false">F559-$B$453+$B$476</f>
        <v>720.254530987234</v>
      </c>
    </row>
    <row r="598" customFormat="false" ht="15" hidden="false" customHeight="false" outlineLevel="0" collapsed="false">
      <c r="A598" s="10" t="s">
        <v>702</v>
      </c>
      <c r="F598" s="47" t="n">
        <f aca="false">F562-F590+F592+F564+$B$544-SUMPRODUCT($C$539:$F$539,$C$527:$F$527)</f>
        <v>1278.71600159695</v>
      </c>
    </row>
    <row r="599" customFormat="false" ht="15" hidden="false" customHeight="false" outlineLevel="0" collapsed="false">
      <c r="A599" s="10" t="s">
        <v>703</v>
      </c>
      <c r="F599" s="49" t="str">
        <f aca="false">IF(F593&gt;Inputs!$B$74,"Not meaningful: funding need above limit",IF(OR(F594&lt;=0,F595&lt;=0),"Not meaningful: 2030 profit or cash flow negative",IF(OR(F596&lt;=0,F597&lt;=0),"Not meaningful: a method gives zero or negative value",IF(F598&lt;=0,"Not meaningful: value at or below zero","OK"))))</f>
        <v>OK</v>
      </c>
    </row>
    <row r="600" customFormat="false" ht="15" hidden="false" customHeight="false" outlineLevel="0" collapsed="false">
      <c r="A600" s="10" t="s">
        <v>704</v>
      </c>
      <c r="F600" s="32" t="n">
        <f aca="false">IF(F599="OK",(F598+SUMPRODUCT($C$538:$F$538,$C$527:$F$527))/(F569+IFERROR(SUMPRODUCT($C$538:$F$538,$C$527:$F$527)/(F598/F569*(1-Inputs!$B$71)),0)),"unresolved")</f>
        <v>48.6850859295211</v>
      </c>
    </row>
    <row r="601" customFormat="false" ht="15" hidden="false" customHeight="false" outlineLevel="0" collapsed="false">
      <c r="A601" s="10" t="s">
        <v>705</v>
      </c>
      <c r="F601" s="47" t="n">
        <f aca="false">IFERROR(D574*F569/D569-(D574+E574-E566),"unresolved")</f>
        <v>436.023225800005</v>
      </c>
    </row>
    <row r="603" customFormat="false" ht="15" hidden="false" customHeight="false" outlineLevel="0" collapsed="false">
      <c r="A603" s="6" t="s">
        <v>706</v>
      </c>
    </row>
    <row r="604" customFormat="false" ht="15" hidden="false" customHeight="false" outlineLevel="0" collapsed="false">
      <c r="A604" s="6" t="s">
        <v>707</v>
      </c>
    </row>
    <row r="605" customFormat="false" ht="15" hidden="false" customHeight="false" outlineLevel="0" collapsed="false">
      <c r="A605" s="6" t="s">
        <v>708</v>
      </c>
    </row>
    <row r="606" customFormat="false" ht="15" hidden="false" customHeight="false" outlineLevel="0" collapsed="false">
      <c r="A606" s="6" t="s">
        <v>709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6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7" min="2" style="0" width="14"/>
  </cols>
  <sheetData>
    <row r="1" customFormat="false" ht="17.35" hidden="false" customHeight="false" outlineLevel="0" collapsed="false">
      <c r="A1" s="5" t="s">
        <v>711</v>
      </c>
    </row>
    <row r="2" customFormat="false" ht="15" hidden="false" customHeight="false" outlineLevel="0" collapsed="false">
      <c r="A2" s="6" t="s">
        <v>493</v>
      </c>
    </row>
    <row r="4" customFormat="false" ht="15" hidden="false" customHeight="false" outlineLevel="0" collapsed="false">
      <c r="A4" s="8" t="s">
        <v>494</v>
      </c>
      <c r="B4" s="9" t="s">
        <v>495</v>
      </c>
      <c r="C4" s="9" t="s">
        <v>496</v>
      </c>
      <c r="D4" s="9" t="s">
        <v>497</v>
      </c>
      <c r="E4" s="9" t="s">
        <v>498</v>
      </c>
      <c r="F4" s="9" t="s">
        <v>499</v>
      </c>
    </row>
    <row r="5" customFormat="false" ht="15" hidden="false" customHeight="false" outlineLevel="0" collapsed="false">
      <c r="A5" s="10" t="s">
        <v>134</v>
      </c>
      <c r="B5" s="47" t="n">
        <f aca="false">Historicals!$C$5+Inputs!$D$87</f>
        <v>18.796</v>
      </c>
      <c r="C5" s="47" t="n">
        <f aca="false">B5*(1+Inputs!$D$92)</f>
        <v>27.2542</v>
      </c>
      <c r="D5" s="47" t="n">
        <f aca="false">C5*(1+Inputs!$D$93)</f>
        <v>35.975544</v>
      </c>
      <c r="E5" s="47" t="n">
        <f aca="false">D5*(1+Inputs!$D$94)</f>
        <v>44.60967456</v>
      </c>
      <c r="F5" s="47" t="n">
        <f aca="false">E5*(1+Inputs!$D$95)</f>
        <v>52.6394159808</v>
      </c>
    </row>
    <row r="6" customFormat="false" ht="15" hidden="false" customHeight="false" outlineLevel="0" collapsed="false">
      <c r="A6" s="10" t="s">
        <v>500</v>
      </c>
      <c r="B6" s="47" t="n">
        <f aca="false">Historicals!$C$6+Inputs!$D$88</f>
        <v>31.939</v>
      </c>
      <c r="C6" s="47" t="n">
        <f aca="false">B6*(1+Inputs!$D$96)</f>
        <v>185.2462</v>
      </c>
      <c r="D6" s="47" t="n">
        <f aca="false">C6*(1+Inputs!$D$97)</f>
        <v>333.44316</v>
      </c>
      <c r="E6" s="47" t="n">
        <f aca="false">D6*(1+Inputs!$D$98)</f>
        <v>500.16474</v>
      </c>
      <c r="F6" s="47" t="n">
        <f aca="false">E6*(1+Inputs!$D$99)</f>
        <v>675.222399</v>
      </c>
    </row>
    <row r="7" customFormat="false" ht="15" hidden="false" customHeight="false" outlineLevel="0" collapsed="false">
      <c r="A7" s="10" t="s">
        <v>135</v>
      </c>
      <c r="B7" s="47" t="n">
        <f aca="false">Historicals!$C$7+Inputs!$D$89</f>
        <v>5.448</v>
      </c>
      <c r="C7" s="47" t="n">
        <f aca="false">B7*(1+Inputs!$D$100)</f>
        <v>6.2652</v>
      </c>
      <c r="D7" s="47" t="n">
        <f aca="false">C7*(1+Inputs!$D$101)</f>
        <v>7.51824</v>
      </c>
      <c r="E7" s="47" t="n">
        <f aca="false">D7*(1+Inputs!$D$102)</f>
        <v>9.3978</v>
      </c>
      <c r="F7" s="47" t="n">
        <f aca="false">E7*(1+Inputs!$D$103)</f>
        <v>11.74725</v>
      </c>
    </row>
    <row r="8" customFormat="false" ht="15" hidden="false" customHeight="false" outlineLevel="0" collapsed="false">
      <c r="A8" s="13" t="s">
        <v>108</v>
      </c>
      <c r="B8" s="18" t="n">
        <f aca="false">B5+B6+B7</f>
        <v>56.183</v>
      </c>
      <c r="C8" s="18" t="n">
        <f aca="false">C5+C6+C7</f>
        <v>218.7656</v>
      </c>
      <c r="D8" s="18" t="n">
        <f aca="false">D5+D6+D7</f>
        <v>376.936944</v>
      </c>
      <c r="E8" s="18" t="n">
        <f aca="false">E5+E6+E7</f>
        <v>554.17221456</v>
      </c>
      <c r="F8" s="18" t="n">
        <f aca="false">F5+F6+F7</f>
        <v>739.6090649808</v>
      </c>
    </row>
    <row r="9" customFormat="false" ht="15" hidden="false" customHeight="false" outlineLevel="0" collapsed="false">
      <c r="A9" s="10" t="s">
        <v>501</v>
      </c>
      <c r="C9" s="19" t="n">
        <f aca="false">IFERROR(C8/B8-1,0)</f>
        <v>2.89380417564032</v>
      </c>
      <c r="D9" s="19" t="n">
        <f aca="false">IFERROR(D8/C8-1,0)</f>
        <v>0.723017439670588</v>
      </c>
      <c r="E9" s="19" t="n">
        <f aca="false">IFERROR(E8/D8-1,0)</f>
        <v>0.470198725227634</v>
      </c>
      <c r="F9" s="19" t="n">
        <f aca="false">IFERROR(F8/E8-1,0)</f>
        <v>0.334619538022188</v>
      </c>
    </row>
    <row r="10" customFormat="false" ht="15" hidden="false" customHeight="false" outlineLevel="0" collapsed="false">
      <c r="A10" s="10" t="s">
        <v>502</v>
      </c>
      <c r="C10" s="47" t="n">
        <f aca="false">C5*(Inputs!$D$104+(Inputs!$D$105-Inputs!$D$104)*0/3)</f>
        <v>17.71523</v>
      </c>
      <c r="D10" s="47" t="n">
        <f aca="false">D5*(Inputs!$D$104+(Inputs!$D$105-Inputs!$D$104)*1/3)</f>
        <v>24.34345144</v>
      </c>
      <c r="E10" s="47" t="n">
        <f aca="false">E5*(Inputs!$D$104+(Inputs!$D$105-Inputs!$D$104)*2/3)</f>
        <v>31.3754711072</v>
      </c>
      <c r="F10" s="47" t="n">
        <f aca="false">F5*(Inputs!$D$104+(Inputs!$D$105-Inputs!$D$104)*3/3)</f>
        <v>38.426773665984</v>
      </c>
    </row>
    <row r="11" customFormat="false" ht="15" hidden="false" customHeight="false" outlineLevel="0" collapsed="false">
      <c r="A11" s="10" t="s">
        <v>503</v>
      </c>
      <c r="C11" s="47" t="n">
        <f aca="false">C6*(Inputs!$D$106+(Inputs!$D$107-Inputs!$D$106)*0/3)</f>
        <v>98.180486</v>
      </c>
      <c r="D11" s="47" t="n">
        <f aca="false">D6*(Inputs!$D$106+(Inputs!$D$107-Inputs!$D$106)*1/3)</f>
        <v>184.5052152</v>
      </c>
      <c r="E11" s="47" t="n">
        <f aca="false">E6*(Inputs!$D$106+(Inputs!$D$107-Inputs!$D$106)*2/3)</f>
        <v>288.4283334</v>
      </c>
      <c r="F11" s="47" t="n">
        <f aca="false">F6*(Inputs!$D$106+(Inputs!$D$107-Inputs!$D$106)*3/3)</f>
        <v>405.1334394</v>
      </c>
    </row>
    <row r="12" customFormat="false" ht="15" hidden="false" customHeight="false" outlineLevel="0" collapsed="false">
      <c r="A12" s="10" t="s">
        <v>504</v>
      </c>
      <c r="C12" s="47" t="n">
        <f aca="false">C7*(Inputs!$D$108+(Inputs!$D$109-Inputs!$D$108)*0/3)</f>
        <v>1.754256</v>
      </c>
      <c r="D12" s="47" t="n">
        <f aca="false">D7*(Inputs!$D$108+(Inputs!$D$109-Inputs!$D$108)*1/3)</f>
        <v>2.4810192</v>
      </c>
      <c r="E12" s="47" t="n">
        <f aca="false">E7*(Inputs!$D$108+(Inputs!$D$109-Inputs!$D$108)*2/3)</f>
        <v>3.571164</v>
      </c>
      <c r="F12" s="47" t="n">
        <f aca="false">F7*(Inputs!$D$108+(Inputs!$D$109-Inputs!$D$108)*3/3)</f>
        <v>5.0513175</v>
      </c>
    </row>
    <row r="13" customFormat="false" ht="15" hidden="false" customHeight="false" outlineLevel="0" collapsed="false">
      <c r="A13" s="10" t="s">
        <v>505</v>
      </c>
      <c r="C13" s="47" t="n">
        <f aca="false">C10+C11+C12</f>
        <v>117.649972</v>
      </c>
      <c r="D13" s="47" t="n">
        <f aca="false">D10+D11+D12</f>
        <v>211.32968584</v>
      </c>
      <c r="E13" s="47" t="n">
        <f aca="false">E10+E11+E12</f>
        <v>323.3749685072</v>
      </c>
      <c r="F13" s="47" t="n">
        <f aca="false">F10+F11+F12</f>
        <v>448.611530565984</v>
      </c>
    </row>
    <row r="14" customFormat="false" ht="15" hidden="false" customHeight="false" outlineLevel="0" collapsed="false">
      <c r="A14" s="10" t="s">
        <v>506</v>
      </c>
      <c r="B14" s="47" t="n">
        <f aca="false">(Inputs!$D$87+Inputs!$D$88+Inputs!$D$89)*Inputs!$D$110</f>
        <v>2.328</v>
      </c>
      <c r="C14" s="47" t="n">
        <f aca="false">C8*Inputs!$D$110</f>
        <v>17.501248</v>
      </c>
      <c r="D14" s="47" t="n">
        <f aca="false">D8*Inputs!$D$110</f>
        <v>30.15495552</v>
      </c>
      <c r="E14" s="47" t="n">
        <f aca="false">E8*Inputs!$D$110</f>
        <v>44.3337771648</v>
      </c>
      <c r="F14" s="47" t="n">
        <f aca="false">F8*Inputs!$D$110</f>
        <v>59.168725198464</v>
      </c>
    </row>
    <row r="15" customFormat="false" ht="15" hidden="false" customHeight="false" outlineLevel="0" collapsed="false">
      <c r="A15" s="10" t="s">
        <v>507</v>
      </c>
      <c r="B15" s="47" t="n">
        <f aca="false">(1-Inputs!$B$14)*Historicals!B$67</f>
        <v>0</v>
      </c>
      <c r="C15" s="47" t="n">
        <f aca="false">(1-Inputs!$B$14)*Historicals!C$67</f>
        <v>0</v>
      </c>
      <c r="D15" s="47" t="n">
        <f aca="false">(1-Inputs!$B$14)*Historicals!D$67</f>
        <v>0</v>
      </c>
      <c r="E15" s="47" t="n">
        <f aca="false">(1-Inputs!$B$14)*Historicals!E$67</f>
        <v>0</v>
      </c>
      <c r="F15" s="26" t="n">
        <v>0</v>
      </c>
      <c r="G15" s="6" t="s">
        <v>508</v>
      </c>
    </row>
    <row r="16" customFormat="false" ht="15" hidden="false" customHeight="false" outlineLevel="0" collapsed="false">
      <c r="A16" s="10" t="s">
        <v>509</v>
      </c>
      <c r="B16" s="47" t="n">
        <f aca="false">Historicals!$C$13+Inputs!$B$50/4</f>
        <v>3.56</v>
      </c>
      <c r="C16" s="47" t="n">
        <f aca="false">Inputs!$B$50*MAX(0,MIN(1,(Inputs!$B$54-1+0.5)/Inputs!$B$54))+$B26*IF(1&lt;=Inputs!$B$46,1,0)/Inputs!$B$46+C22*0.5/Inputs!$B$46</f>
        <v>4.60186071011075</v>
      </c>
      <c r="D16" s="47" t="n">
        <f aca="false">Inputs!$B$50*MAX(0,MIN(1,(Inputs!$B$54-2+0.5)/Inputs!$B$54))+$B26*IF(2&lt;=Inputs!$B$46,1,0)/Inputs!$B$46+C22*IF(1&lt;=Inputs!$B$46-1,1,IF(1=Inputs!$B$46,0.5,0))/Inputs!$B$46+D22*0.5/Inputs!$B$46</f>
        <v>4.88699659811075</v>
      </c>
      <c r="E16" s="47" t="n">
        <f aca="false">Inputs!$B$50*MAX(0,MIN(1,(Inputs!$B$54-3+0.5)/Inputs!$B$54))+$B26*IF(3&lt;=Inputs!$B$46,1,0)/Inputs!$B$46+C22*IF(2&lt;=Inputs!$B$46-1,1,IF(2=Inputs!$B$46,0.5,0))/Inputs!$B$46+D22*IF(1&lt;=Inputs!$B$46-1,1,IF(1=Inputs!$B$46,0.5,0))/Inputs!$B$46+E22*0.5/Inputs!$B$46</f>
        <v>5.25655509603075</v>
      </c>
      <c r="F16" s="47" t="n">
        <f aca="false">Inputs!$B$50*MAX(0,MIN(1,(Inputs!$B$54-4+0.5)/Inputs!$B$54))+$B26*IF(4&lt;=Inputs!$B$46,1,0)/Inputs!$B$46+C22*IF(3&lt;=Inputs!$B$46-1,1,IF(3=Inputs!$B$46,0.5,0))/Inputs!$B$46+D22*IF(2&lt;=Inputs!$B$46-1,1,IF(2=Inputs!$B$46,0.5,0))/Inputs!$B$46+E22*IF(1&lt;=Inputs!$B$46-1,1,IF(1=Inputs!$B$46,0.5,0))/Inputs!$B$46+F22*0.5/Inputs!$B$46</f>
        <v>5.58624309772035</v>
      </c>
    </row>
    <row r="17" customFormat="false" ht="15" hidden="false" customHeight="false" outlineLevel="0" collapsed="false">
      <c r="A17" s="10" t="s">
        <v>510</v>
      </c>
      <c r="B17" s="47" t="n">
        <f aca="false">Historicals!$C$14+Inputs!$B$51/4</f>
        <v>8.324</v>
      </c>
      <c r="C17" s="47" t="n">
        <f aca="false">Inputs!$B$51*MAX(0,MIN(1,(Inputs!$B$55-1+0.5)/Inputs!$B$55))+$B27*IF(1&lt;=Inputs!$B$47,1,0)/Inputs!$B$47+C23*0.5/Inputs!$B$47</f>
        <v>26.3310681008523</v>
      </c>
      <c r="D17" s="47" t="n">
        <f aca="false">Inputs!$B$51*MAX(0,MIN(1,(Inputs!$B$55-2+0.5)/Inputs!$B$55))+$B27*IF(2&lt;=Inputs!$B$47,1,0)/Inputs!$B$47+C23*IF(1&lt;=Inputs!$B$47-1,1,IF(1=Inputs!$B$47,0.5,0))/Inputs!$B$47+D23*0.5/Inputs!$B$47</f>
        <v>55.6857396437095</v>
      </c>
      <c r="E17" s="47" t="n">
        <f aca="false">Inputs!$B$51*MAX(0,MIN(1,(Inputs!$B$55-3+0.5)/Inputs!$B$55))+$B27*IF(3&lt;=Inputs!$B$47,1,0)/Inputs!$B$47+C23*IF(2&lt;=Inputs!$B$47-1,1,IF(2=Inputs!$B$47,0.5,0))/Inputs!$B$47+D23*IF(1&lt;=Inputs!$B$47-1,1,IF(1=Inputs!$B$47,0.5,0))/Inputs!$B$47+E23*0.5/Inputs!$B$47</f>
        <v>90.3860872437095</v>
      </c>
      <c r="F17" s="47" t="n">
        <f aca="false">Inputs!$B$51*MAX(0,MIN(1,(Inputs!$B$55-4+0.5)/Inputs!$B$55))+$B27*IF(4&lt;=Inputs!$B$47,1,0)/Inputs!$B$47+C23*IF(3&lt;=Inputs!$B$47-1,1,IF(3=Inputs!$B$47,0.5,0))/Inputs!$B$47+D23*IF(2&lt;=Inputs!$B$47-1,1,IF(2=Inputs!$B$47,0.5,0))/Inputs!$B$47+E23*IF(1&lt;=Inputs!$B$47-1,1,IF(1=Inputs!$B$47,0.5,0))/Inputs!$B$47+F23*0.5/Inputs!$B$47</f>
        <v>120.489682709424</v>
      </c>
    </row>
    <row r="18" customFormat="false" ht="15" hidden="false" customHeight="false" outlineLevel="0" collapsed="false">
      <c r="A18" s="10" t="s">
        <v>511</v>
      </c>
      <c r="B18" s="47" t="n">
        <f aca="false">Historicals!$C$15+Inputs!$B$52/4</f>
        <v>0.694</v>
      </c>
      <c r="C18" s="47" t="n">
        <f aca="false">Inputs!$B$52*MAX(0,MIN(1,(Inputs!$B$56-1+0.5)/Inputs!$B$56))+$B28*IF(1&lt;=Inputs!$B$48,1,0)/Inputs!$B$48+C24*0.5/Inputs!$B$48</f>
        <v>1.15317750768131</v>
      </c>
      <c r="D18" s="47" t="n">
        <f aca="false">Inputs!$B$52*MAX(0,MIN(1,(Inputs!$B$56-2+0.5)/Inputs!$B$56))+$B28*IF(2&lt;=Inputs!$B$48,1,0)/Inputs!$B$48+C24*IF(1&lt;=Inputs!$B$48-1,1,IF(1=Inputs!$B$48,0.5,0))/Inputs!$B$48+D24*0.5/Inputs!$B$48</f>
        <v>1.39949097434798</v>
      </c>
      <c r="E18" s="47" t="n">
        <f aca="false">Inputs!$B$52*MAX(0,MIN(1,(Inputs!$B$56-3+0.5)/Inputs!$B$56))+$B28*IF(3&lt;=Inputs!$B$48,1,0)/Inputs!$B$48+C24*IF(2&lt;=Inputs!$B$48-1,1,IF(2=Inputs!$B$48,0.5,0))/Inputs!$B$48+D24*IF(1&lt;=Inputs!$B$48-1,1,IF(1=Inputs!$B$48,0.5,0))/Inputs!$B$48+E24*0.5/Inputs!$B$48</f>
        <v>1.63014144101465</v>
      </c>
      <c r="F18" s="47" t="n">
        <f aca="false">Inputs!$B$52*MAX(0,MIN(1,(Inputs!$B$56-4+0.5)/Inputs!$B$56))+$B28*IF(4&lt;=Inputs!$B$48,1,0)/Inputs!$B$48+C24*IF(3&lt;=Inputs!$B$48-1,1,IF(3=Inputs!$B$48,0.5,0))/Inputs!$B$48+D24*IF(2&lt;=Inputs!$B$48-1,1,IF(2=Inputs!$B$48,0.5,0))/Inputs!$B$48+E24*IF(1&lt;=Inputs!$B$48-1,1,IF(1=Inputs!$B$48,0.5,0))/Inputs!$B$48+F24*0.5/Inputs!$B$48</f>
        <v>1.82594173268131</v>
      </c>
    </row>
    <row r="19" customFormat="false" ht="15" hidden="false" customHeight="false" outlineLevel="0" collapsed="false">
      <c r="A19" s="10" t="s">
        <v>512</v>
      </c>
      <c r="B19" s="47" t="n">
        <f aca="false">B16+B17+B18</f>
        <v>12.578</v>
      </c>
      <c r="C19" s="47" t="n">
        <f aca="false">C16+C17+C18</f>
        <v>32.0861063186444</v>
      </c>
      <c r="D19" s="47" t="n">
        <f aca="false">D16+D17+D18</f>
        <v>61.9722272161682</v>
      </c>
      <c r="E19" s="47" t="n">
        <f aca="false">E16+E17+E18</f>
        <v>97.2727837807549</v>
      </c>
      <c r="F19" s="47" t="n">
        <f aca="false">F16+F17+F18</f>
        <v>127.901867539825</v>
      </c>
    </row>
    <row r="20" customFormat="false" ht="15" hidden="false" customHeight="false" outlineLevel="0" collapsed="false">
      <c r="A20" s="13" t="s">
        <v>513</v>
      </c>
      <c r="B20" s="18" t="n">
        <f aca="false">Historicals!$C$12+(Inputs!$D$87+Inputs!$D$88+Inputs!$D$89)*Inputs!$D$90-B15</f>
        <v>7.689</v>
      </c>
      <c r="C20" s="18" t="n">
        <f aca="false">C13-C14-C15-C19</f>
        <v>68.0626176813556</v>
      </c>
      <c r="D20" s="18" t="n">
        <f aca="false">D13-D14-D15-D19</f>
        <v>119.202503103832</v>
      </c>
      <c r="E20" s="18" t="n">
        <f aca="false">E13-E14-E15-E19</f>
        <v>181.768407561645</v>
      </c>
      <c r="F20" s="18" t="n">
        <f aca="false">F13-F14-F15-F19</f>
        <v>261.540937827695</v>
      </c>
    </row>
    <row r="21" customFormat="false" ht="15" hidden="false" customHeight="false" outlineLevel="0" collapsed="false">
      <c r="A21" s="10" t="s">
        <v>514</v>
      </c>
      <c r="B21" s="19" t="n">
        <f aca="false">IFERROR(B20/B8,0)</f>
        <v>0.136856344445829</v>
      </c>
      <c r="C21" s="19" t="n">
        <f aca="false">IFERROR(C20/C8,0)</f>
        <v>0.311121207728069</v>
      </c>
      <c r="D21" s="19" t="n">
        <f aca="false">IFERROR(D20/D8,0)</f>
        <v>0.316239904316282</v>
      </c>
      <c r="E21" s="19" t="n">
        <f aca="false">IFERROR(E20/E8,0)</f>
        <v>0.327999857780609</v>
      </c>
      <c r="F21" s="19" t="n">
        <f aca="false">IFERROR(F20/F8,0)</f>
        <v>0.353620514148896</v>
      </c>
    </row>
    <row r="22" customFormat="false" ht="15" hidden="false" customHeight="false" outlineLevel="0" collapsed="false">
      <c r="A22" s="10" t="s">
        <v>515</v>
      </c>
      <c r="B22" s="47" t="n">
        <f aca="false">Historicals!$C$19+B26</f>
        <v>6.99834155055377</v>
      </c>
      <c r="C22" s="47" t="n">
        <f aca="false">C5*(Inputs!$D$111+(Inputs!$D$112-Inputs!$D$111)*0/3)</f>
        <v>5.995924</v>
      </c>
      <c r="D22" s="47" t="n">
        <f aca="false">D5*(Inputs!$D$111+(Inputs!$D$112-Inputs!$D$111)*1/3)</f>
        <v>6.71543488</v>
      </c>
      <c r="E22" s="47" t="n">
        <f aca="false">E5*(Inputs!$D$111+(Inputs!$D$112-Inputs!$D$111)*2/3)</f>
        <v>6.8401500992</v>
      </c>
      <c r="F22" s="47" t="n">
        <f aca="false">F5*(Inputs!$D$111+(Inputs!$D$112-Inputs!$D$111)*3/3)</f>
        <v>6.316729917696</v>
      </c>
    </row>
    <row r="23" customFormat="false" ht="15" hidden="false" customHeight="false" outlineLevel="0" collapsed="false">
      <c r="A23" s="10" t="s">
        <v>516</v>
      </c>
      <c r="B23" s="47" t="n">
        <f aca="false">Historicals!$C$20+B27</f>
        <v>69.3697767059664</v>
      </c>
      <c r="C23" s="47" t="n">
        <f aca="false">C6*(Inputs!$D$113+(Inputs!$D$114-Inputs!$D$113)*0/3)</f>
        <v>185.2462</v>
      </c>
      <c r="D23" s="47" t="n">
        <f aca="false">D6*(Inputs!$D$113+(Inputs!$D$114-Inputs!$D$113)*1/3)</f>
        <v>253.4168016</v>
      </c>
      <c r="E23" s="47" t="n">
        <f aca="false">E6*(Inputs!$D$113+(Inputs!$D$114-Inputs!$D$113)*2/3)</f>
        <v>260.0856648</v>
      </c>
      <c r="F23" s="47" t="n">
        <f aca="false">F6*(Inputs!$D$113+(Inputs!$D$114-Inputs!$D$113)*3/3)</f>
        <v>189.06227172</v>
      </c>
    </row>
    <row r="24" customFormat="false" ht="15" hidden="false" customHeight="false" outlineLevel="0" collapsed="false">
      <c r="A24" s="10" t="s">
        <v>517</v>
      </c>
      <c r="B24" s="47" t="n">
        <f aca="false">Historicals!$C$21+B28</f>
        <v>6.70088174347981</v>
      </c>
      <c r="C24" s="47" t="n">
        <f aca="false">C7*(Inputs!$D$115+(Inputs!$D$116-Inputs!$D$115)*0/3)</f>
        <v>3.75912</v>
      </c>
      <c r="D24" s="47" t="n">
        <f aca="false">D7*(Inputs!$D$115+(Inputs!$D$116-Inputs!$D$115)*1/3)</f>
        <v>3.633816</v>
      </c>
      <c r="E24" s="47" t="n">
        <f aca="false">E7*(Inputs!$D$115+(Inputs!$D$116-Inputs!$D$115)*2/3)</f>
        <v>3.44586</v>
      </c>
      <c r="F24" s="47" t="n">
        <f aca="false">F7*(Inputs!$D$115+(Inputs!$D$116-Inputs!$D$115)*3/3)</f>
        <v>2.9368125</v>
      </c>
    </row>
    <row r="25" customFormat="false" ht="15" hidden="false" customHeight="false" outlineLevel="0" collapsed="false">
      <c r="A25" s="10" t="s">
        <v>518</v>
      </c>
      <c r="B25" s="47" t="n">
        <f aca="false">B22+B23+B24</f>
        <v>83.069</v>
      </c>
      <c r="C25" s="47" t="n">
        <f aca="false">C22+C23+C24</f>
        <v>195.001244</v>
      </c>
      <c r="D25" s="47" t="n">
        <f aca="false">D22+D23+D24</f>
        <v>263.76605248</v>
      </c>
      <c r="E25" s="47" t="n">
        <f aca="false">E22+E23+E24</f>
        <v>270.3716748992</v>
      </c>
      <c r="F25" s="47" t="n">
        <f aca="false">F22+F23+F24</f>
        <v>198.315814137696</v>
      </c>
    </row>
    <row r="26" customFormat="false" ht="15" hidden="false" customHeight="false" outlineLevel="0" collapsed="false">
      <c r="A26" s="10" t="s">
        <v>519</v>
      </c>
      <c r="B26" s="47" t="n">
        <f aca="false">Inputs!$D$91*Historicals!$B$19/Historicals!$B$22</f>
        <v>2.75634155055377</v>
      </c>
    </row>
    <row r="27" customFormat="false" ht="15" hidden="false" customHeight="false" outlineLevel="0" collapsed="false">
      <c r="A27" s="10" t="s">
        <v>520</v>
      </c>
      <c r="B27" s="47" t="n">
        <f aca="false">Inputs!$D$91*Historicals!$B$20/Historicals!$B$22</f>
        <v>29.3747767059664</v>
      </c>
    </row>
    <row r="28" customFormat="false" ht="15" hidden="false" customHeight="false" outlineLevel="0" collapsed="false">
      <c r="A28" s="10" t="s">
        <v>521</v>
      </c>
      <c r="B28" s="47" t="n">
        <f aca="false">Inputs!$D$91*Historicals!$B$21/Historicals!$B$22</f>
        <v>2.86888174347981</v>
      </c>
    </row>
    <row r="29" customFormat="false" ht="15" hidden="false" customHeight="false" outlineLevel="0" collapsed="false">
      <c r="A29" s="10" t="s">
        <v>522</v>
      </c>
      <c r="C29" s="48" t="n">
        <f aca="false">IFERROR(C25/C19,0)</f>
        <v>6.07743557487029</v>
      </c>
      <c r="D29" s="48" t="n">
        <f aca="false">IFERROR(D25/D19,0)</f>
        <v>4.25619772482834</v>
      </c>
      <c r="E29" s="48" t="n">
        <f aca="false">IFERROR(E25/E19,0)</f>
        <v>2.77952027679804</v>
      </c>
      <c r="F29" s="48" t="n">
        <f aca="false">IFERROR(F25/F19,0)</f>
        <v>1.55053102782839</v>
      </c>
    </row>
    <row r="30" customFormat="false" ht="15" hidden="false" customHeight="false" outlineLevel="0" collapsed="false">
      <c r="A30" s="10" t="s">
        <v>523</v>
      </c>
      <c r="B30" s="47" t="n">
        <f aca="false">B20-Inputs!$B$37*B25+Inputs!$B$37*B19</f>
        <v>-41.6547</v>
      </c>
      <c r="C30" s="47" t="n">
        <f aca="false">C20-Inputs!$B$37*C25+Inputs!$B$37*C19</f>
        <v>-45.9779786955933</v>
      </c>
      <c r="D30" s="47" t="n">
        <f aca="false">D20-Inputs!$B$37*D25+Inputs!$B$37*D19</f>
        <v>-22.0531745808505</v>
      </c>
      <c r="E30" s="47" t="n">
        <f aca="false">E20-Inputs!$B$37*E25+Inputs!$B$37*E19</f>
        <v>60.5991837787336</v>
      </c>
      <c r="F30" s="47" t="n">
        <f aca="false">F20-Inputs!$B$37*F25+Inputs!$B$37*F19</f>
        <v>212.251175209185</v>
      </c>
    </row>
    <row r="31" customFormat="false" ht="15" hidden="false" customHeight="false" outlineLevel="0" collapsed="false">
      <c r="A31" s="10" t="s">
        <v>524</v>
      </c>
      <c r="B31" s="47" t="n">
        <f aca="false">MIN(Historicals!$B$47,MAX(0,B30),1E+099)</f>
        <v>0</v>
      </c>
      <c r="C31" s="47" t="n">
        <f aca="false">MIN(B33,MAX(0,C30),Inputs!$B$36)</f>
        <v>0</v>
      </c>
      <c r="D31" s="47" t="n">
        <f aca="false">MIN(C33,MAX(0,D30),Inputs!$B$36)</f>
        <v>0</v>
      </c>
      <c r="E31" s="47" t="n">
        <f aca="false">MIN(D33,MAX(0,E30),Inputs!$B$36)</f>
        <v>46.8887</v>
      </c>
      <c r="F31" s="47" t="n">
        <f aca="false">MIN(E33,MAX(0,F30),Inputs!$B$36)</f>
        <v>0</v>
      </c>
    </row>
    <row r="32" customFormat="false" ht="15" hidden="false" customHeight="false" outlineLevel="0" collapsed="false">
      <c r="A32" s="10" t="s">
        <v>525</v>
      </c>
      <c r="B32" s="47" t="n">
        <f aca="false">MIN(0,MAX(0,B30)-B31)</f>
        <v>0</v>
      </c>
      <c r="C32" s="47" t="n">
        <f aca="false">MIN(B34,MAX(0,C30)-C31)</f>
        <v>0</v>
      </c>
      <c r="D32" s="47" t="n">
        <f aca="false">MIN(C34,MAX(0,D30)-D31)</f>
        <v>0</v>
      </c>
      <c r="E32" s="47" t="n">
        <f aca="false">MIN(D34,MAX(0,E30)-E31)</f>
        <v>13.7104837787336</v>
      </c>
      <c r="F32" s="47" t="n">
        <f aca="false">MIN(E34,MAX(0,F30)-F31)</f>
        <v>54.3206694977102</v>
      </c>
    </row>
    <row r="33" customFormat="false" ht="15" hidden="false" customHeight="false" outlineLevel="0" collapsed="false">
      <c r="A33" s="10" t="s">
        <v>526</v>
      </c>
      <c r="B33" s="47" t="n">
        <f aca="false">Historicals!$B$47-B31+MAX(0,-B30)</f>
        <v>46.8887</v>
      </c>
      <c r="C33" s="47" t="n">
        <f aca="false">B33-C31</f>
        <v>46.8887</v>
      </c>
      <c r="D33" s="47" t="n">
        <f aca="false">C33-D31</f>
        <v>46.8887</v>
      </c>
      <c r="E33" s="47" t="n">
        <f aca="false">D33-E31</f>
        <v>0</v>
      </c>
      <c r="F33" s="47" t="n">
        <f aca="false">E33-F31</f>
        <v>0</v>
      </c>
    </row>
    <row r="34" customFormat="false" ht="15" hidden="false" customHeight="false" outlineLevel="0" collapsed="false">
      <c r="A34" s="10" t="s">
        <v>527</v>
      </c>
      <c r="B34" s="26" t="n">
        <v>0</v>
      </c>
      <c r="C34" s="47" t="n">
        <f aca="false">B34-C32+MAX(0,-C30)</f>
        <v>45.9779786955933</v>
      </c>
      <c r="D34" s="47" t="n">
        <f aca="false">C34-D32+MAX(0,-D30)</f>
        <v>68.0311532764438</v>
      </c>
      <c r="E34" s="47" t="n">
        <f aca="false">D34-E32+MAX(0,-E30)</f>
        <v>54.3206694977102</v>
      </c>
      <c r="F34" s="47" t="n">
        <f aca="false">E34-F32+MAX(0,-F30)</f>
        <v>0</v>
      </c>
    </row>
    <row r="35" customFormat="false" ht="15" hidden="false" customHeight="false" outlineLevel="0" collapsed="false">
      <c r="A35" s="10" t="s">
        <v>528</v>
      </c>
      <c r="B35" s="47" t="n">
        <f aca="false">MAX(0,B30-B31-B32)*Inputs!$B$34</f>
        <v>0</v>
      </c>
      <c r="C35" s="47" t="n">
        <f aca="false">MAX(0,C30-C31-C32)*Inputs!$B$34</f>
        <v>0</v>
      </c>
      <c r="D35" s="47" t="n">
        <f aca="false">MAX(0,D30-D31-D32)*Inputs!$B$34</f>
        <v>0</v>
      </c>
      <c r="E35" s="47" t="n">
        <f aca="false">MAX(0,E30-E31-E32)*Inputs!$B$34</f>
        <v>0</v>
      </c>
      <c r="F35" s="47" t="n">
        <f aca="false">MAX(0,F30-F31-F32)*Inputs!$B$34</f>
        <v>6.317220228459</v>
      </c>
    </row>
    <row r="36" customFormat="false" ht="15" hidden="false" customHeight="false" outlineLevel="0" collapsed="false">
      <c r="A36" s="10" t="s">
        <v>529</v>
      </c>
      <c r="B36" s="47" t="n">
        <f aca="false">B30-B35</f>
        <v>-41.6547</v>
      </c>
      <c r="C36" s="47" t="n">
        <f aca="false">C30-C35</f>
        <v>-45.9779786955933</v>
      </c>
      <c r="D36" s="47" t="n">
        <f aca="false">D30-D35</f>
        <v>-22.0531745808505</v>
      </c>
      <c r="E36" s="47" t="n">
        <f aca="false">E30-E35</f>
        <v>60.5991837787336</v>
      </c>
      <c r="F36" s="47" t="n">
        <f aca="false">F30-F35</f>
        <v>205.933954980726</v>
      </c>
    </row>
    <row r="37" customFormat="false" ht="15" hidden="false" customHeight="false" outlineLevel="0" collapsed="false">
      <c r="A37" s="10" t="s">
        <v>530</v>
      </c>
      <c r="B37" s="47" t="n">
        <f aca="false">MIN(Historicals!$B$46,Inputs!$B$35*MAX(0,B36),1E+099)</f>
        <v>0</v>
      </c>
      <c r="C37" s="47" t="n">
        <f aca="false">MIN(B39,Inputs!$B$35*MAX(0,C36),Inputs!$B$36)</f>
        <v>0</v>
      </c>
      <c r="D37" s="47" t="n">
        <f aca="false">MIN(C39,Inputs!$B$35*MAX(0,D36),Inputs!$B$36)</f>
        <v>0</v>
      </c>
      <c r="E37" s="47" t="n">
        <f aca="false">MIN(D39,Inputs!$B$35*MAX(0,E36),Inputs!$B$36)</f>
        <v>48.4793470229869</v>
      </c>
      <c r="F37" s="47" t="n">
        <f aca="false">MIN(E39,Inputs!$B$35*MAX(0,F36),Inputs!$B$36)</f>
        <v>2.90335297701315</v>
      </c>
    </row>
    <row r="38" customFormat="false" ht="15" hidden="false" customHeight="false" outlineLevel="0" collapsed="false">
      <c r="A38" s="10" t="s">
        <v>531</v>
      </c>
      <c r="B38" s="47" t="n">
        <f aca="false">MIN(0,Inputs!$B$35*MAX(0,B36)-B37)</f>
        <v>0</v>
      </c>
      <c r="C38" s="47" t="n">
        <f aca="false">MIN(B40,Inputs!$B$35*MAX(0,C36)-C37)</f>
        <v>0</v>
      </c>
      <c r="D38" s="47" t="n">
        <f aca="false">MIN(C40,Inputs!$B$35*MAX(0,D36)-D37)</f>
        <v>0</v>
      </c>
      <c r="E38" s="47" t="n">
        <f aca="false">MIN(D40,Inputs!$B$35*MAX(0,E36)-E37)</f>
        <v>0</v>
      </c>
      <c r="F38" s="47" t="n">
        <f aca="false">MIN(E40,Inputs!$B$35*MAX(0,F36)-F37)</f>
        <v>68.0311532764438</v>
      </c>
    </row>
    <row r="39" customFormat="false" ht="15" hidden="false" customHeight="false" outlineLevel="0" collapsed="false">
      <c r="A39" s="10" t="s">
        <v>532</v>
      </c>
      <c r="B39" s="47" t="n">
        <f aca="false">Historicals!$B$46-B37+MAX(0,-B36)</f>
        <v>51.3827</v>
      </c>
      <c r="C39" s="47" t="n">
        <f aca="false">B39-C37</f>
        <v>51.3827</v>
      </c>
      <c r="D39" s="47" t="n">
        <f aca="false">C39-D37</f>
        <v>51.3827</v>
      </c>
      <c r="E39" s="47" t="n">
        <f aca="false">D39-E37</f>
        <v>2.90335297701315</v>
      </c>
      <c r="F39" s="47" t="n">
        <f aca="false">E39-F37</f>
        <v>0</v>
      </c>
    </row>
    <row r="40" customFormat="false" ht="15" hidden="false" customHeight="false" outlineLevel="0" collapsed="false">
      <c r="A40" s="10" t="s">
        <v>533</v>
      </c>
      <c r="B40" s="26" t="n">
        <v>0</v>
      </c>
      <c r="C40" s="47" t="n">
        <f aca="false">B40-C38+MAX(0,-C36)</f>
        <v>45.9779786955933</v>
      </c>
      <c r="D40" s="47" t="n">
        <f aca="false">C40-D38+MAX(0,-D36)</f>
        <v>68.0311532764438</v>
      </c>
      <c r="E40" s="47" t="n">
        <f aca="false">D40-E38+MAX(0,-E36)</f>
        <v>68.0311532764438</v>
      </c>
      <c r="F40" s="47" t="n">
        <f aca="false">E40-F38+MAX(0,-F36)</f>
        <v>0</v>
      </c>
    </row>
    <row r="41" customFormat="false" ht="15" hidden="false" customHeight="false" outlineLevel="0" collapsed="false">
      <c r="A41" s="10" t="s">
        <v>534</v>
      </c>
      <c r="B41" s="47" t="n">
        <f aca="false">MAX(0,B36-B37-B38)*Inputs!$B$33</f>
        <v>0</v>
      </c>
      <c r="C41" s="47" t="n">
        <f aca="false">MAX(0,C36-C37-C38)*Inputs!$B$33</f>
        <v>0</v>
      </c>
      <c r="D41" s="47" t="n">
        <f aca="false">MAX(0,D36-D37-D38)*Inputs!$B$33</f>
        <v>0</v>
      </c>
      <c r="E41" s="47" t="n">
        <f aca="false">MAX(0,E36-E37-E38)*Inputs!$B$33</f>
        <v>2.54516571870681</v>
      </c>
      <c r="F41" s="47" t="n">
        <f aca="false">MAX(0,F36-F37-F38)*Inputs!$B$33</f>
        <v>28.3498842327265</v>
      </c>
    </row>
    <row r="42" customFormat="false" ht="15" hidden="false" customHeight="false" outlineLevel="0" collapsed="false">
      <c r="A42" s="10" t="s">
        <v>535</v>
      </c>
      <c r="B42" s="47" t="n">
        <f aca="false">MIN(Historicals!$B$48,B41,MAX(0,1E+099-B37)*Inputs!$B$33)</f>
        <v>0</v>
      </c>
      <c r="C42" s="47" t="n">
        <f aca="false">MIN(B43,C41,MAX(0,Inputs!$B$36-C37)*Inputs!$B$33)</f>
        <v>0</v>
      </c>
      <c r="D42" s="47" t="n">
        <f aca="false">MIN(C43,D41,MAX(0,Inputs!$B$36-D37)*Inputs!$B$33)</f>
        <v>0</v>
      </c>
      <c r="E42" s="47" t="n">
        <f aca="false">MIN(D43,E41,MAX(0,Inputs!$B$36-E37)*Inputs!$B$33)</f>
        <v>2.54516571870681</v>
      </c>
      <c r="F42" s="47" t="n">
        <f aca="false">MIN(E43,F41,MAX(0,Inputs!$B$36-F37)*Inputs!$B$33)</f>
        <v>1.04083428129319</v>
      </c>
    </row>
    <row r="43" customFormat="false" ht="15" hidden="false" customHeight="false" outlineLevel="0" collapsed="false">
      <c r="A43" s="10" t="s">
        <v>536</v>
      </c>
      <c r="B43" s="47" t="n">
        <f aca="false">Historicals!$B$48-B42</f>
        <v>3.586</v>
      </c>
      <c r="C43" s="47" t="n">
        <f aca="false">B43-C42</f>
        <v>3.586</v>
      </c>
      <c r="D43" s="47" t="n">
        <f aca="false">C43-D42</f>
        <v>3.586</v>
      </c>
      <c r="E43" s="47" t="n">
        <f aca="false">D43-E42</f>
        <v>1.04083428129319</v>
      </c>
      <c r="F43" s="47" t="n">
        <f aca="false">E43-F42</f>
        <v>0</v>
      </c>
    </row>
    <row r="44" customFormat="false" ht="15" hidden="false" customHeight="false" outlineLevel="0" collapsed="false">
      <c r="A44" s="13" t="s">
        <v>537</v>
      </c>
      <c r="B44" s="18" t="n">
        <f aca="false">MAX(0,(Inputs!$D$87+Inputs!$D$88+Inputs!$D$89)*Inputs!$D$90)*Inputs!$B$40</f>
        <v>0</v>
      </c>
      <c r="C44" s="18" t="n">
        <f aca="false">C41-C42+C35</f>
        <v>0</v>
      </c>
      <c r="D44" s="18" t="n">
        <f aca="false">D41-D42+D35</f>
        <v>0</v>
      </c>
      <c r="E44" s="18" t="n">
        <f aca="false">E41-E42+E35</f>
        <v>0</v>
      </c>
      <c r="F44" s="18" t="n">
        <f aca="false">F41-F42+F35</f>
        <v>33.6262701798923</v>
      </c>
    </row>
    <row r="45" customFormat="false" ht="15" hidden="false" customHeight="false" outlineLevel="0" collapsed="false">
      <c r="A45" s="10" t="s">
        <v>538</v>
      </c>
      <c r="B45" s="47" t="n">
        <f aca="false">0+Inputs!$B$37*(B25-B19)</f>
        <v>49.3437</v>
      </c>
      <c r="C45" s="47" t="n">
        <f aca="false">B45+Inputs!$B$37*(C25-C19)</f>
        <v>163.384296376949</v>
      </c>
      <c r="D45" s="47" t="n">
        <f aca="false">C45+Inputs!$B$37*(D25-D19)</f>
        <v>304.639974061631</v>
      </c>
      <c r="E45" s="47" t="n">
        <f aca="false">D45+Inputs!$B$37*(E25-E19)</f>
        <v>425.809197844543</v>
      </c>
      <c r="F45" s="47" t="n">
        <f aca="false">E45+Inputs!$B$37*(F25-F19)</f>
        <v>475.098960463052</v>
      </c>
    </row>
    <row r="46" customFormat="false" ht="15" hidden="false" customHeight="false" outlineLevel="0" collapsed="false">
      <c r="A46" s="10" t="s">
        <v>539</v>
      </c>
      <c r="B46" s="47" t="n">
        <f aca="false">B45*Inputs!$B$79</f>
        <v>11.92143792</v>
      </c>
      <c r="C46" s="47" t="n">
        <f aca="false">C45*Inputs!$B$79</f>
        <v>39.4736460046709</v>
      </c>
      <c r="D46" s="47" t="n">
        <f aca="false">D45*Inputs!$B$79</f>
        <v>73.6010177332901</v>
      </c>
      <c r="E46" s="47" t="n">
        <f aca="false">E45*Inputs!$B$79</f>
        <v>102.875502199242</v>
      </c>
      <c r="F46" s="47" t="n">
        <f aca="false">F45*Inputs!$B$79</f>
        <v>114.783908847873</v>
      </c>
    </row>
    <row r="47" customFormat="false" ht="15" hidden="false" customHeight="false" outlineLevel="0" collapsed="false">
      <c r="A47" s="10" t="s">
        <v>540</v>
      </c>
      <c r="C47" s="47" t="n">
        <f aca="false">C20-C44</f>
        <v>68.0626176813556</v>
      </c>
      <c r="D47" s="47" t="n">
        <f aca="false">D20-D44</f>
        <v>119.202503103832</v>
      </c>
      <c r="E47" s="47" t="n">
        <f aca="false">E20-E44</f>
        <v>181.768407561645</v>
      </c>
      <c r="F47" s="47" t="n">
        <f aca="false">F20-F44</f>
        <v>227.914667647802</v>
      </c>
    </row>
    <row r="48" customFormat="false" ht="15" hidden="false" customHeight="false" outlineLevel="0" collapsed="false">
      <c r="A48" s="10" t="s">
        <v>541</v>
      </c>
      <c r="C48" s="47" t="n">
        <f aca="false">Inputs!$B$64*(C8-B8)</f>
        <v>0</v>
      </c>
      <c r="D48" s="47" t="n">
        <f aca="false">Inputs!$B$64*(D8-C8)</f>
        <v>0</v>
      </c>
      <c r="E48" s="47" t="n">
        <f aca="false">Inputs!$B$64*(E8-D8)</f>
        <v>0</v>
      </c>
      <c r="F48" s="47" t="n">
        <f aca="false">Inputs!$B$64*(F8-E8)</f>
        <v>0</v>
      </c>
    </row>
    <row r="49" customFormat="false" ht="15" hidden="false" customHeight="false" outlineLevel="0" collapsed="false">
      <c r="A49" s="13" t="s">
        <v>542</v>
      </c>
      <c r="B49" s="18" t="n">
        <f aca="false">B50-B14</f>
        <v>-24.372</v>
      </c>
      <c r="C49" s="18" t="n">
        <f aca="false">C20+C19-C44-C25-C48</f>
        <v>-94.85252</v>
      </c>
      <c r="D49" s="18" t="n">
        <f aca="false">D20+D19-D44-D25-D48</f>
        <v>-82.59132216</v>
      </c>
      <c r="E49" s="18" t="n">
        <f aca="false">E20+E19-E44-E25-E48</f>
        <v>8.66951644320005</v>
      </c>
      <c r="F49" s="18" t="n">
        <f aca="false">F20+F19-F44-F25-F48</f>
        <v>157.500721049932</v>
      </c>
    </row>
    <row r="50" customFormat="false" ht="15" hidden="false" customHeight="false" outlineLevel="0" collapsed="false">
      <c r="A50" s="10" t="s">
        <v>543</v>
      </c>
      <c r="B50" s="47" t="n">
        <f aca="false">(Inputs!$D$87+Inputs!$D$88+Inputs!$D$89)*Inputs!$D$90+(Inputs!$B$50+Inputs!$B$51+Inputs!$B$52)/4+B14-B44-Inputs!$D$91</f>
        <v>-22.044</v>
      </c>
      <c r="C50" s="47" t="n">
        <f aca="false">C49+C14+C15</f>
        <v>-77.351272</v>
      </c>
      <c r="D50" s="47" t="n">
        <f aca="false">D49+D14+D15</f>
        <v>-52.43636664</v>
      </c>
      <c r="E50" s="47" t="n">
        <f aca="false">E49+E14+E15</f>
        <v>53.0032936080001</v>
      </c>
      <c r="F50" s="47" t="n">
        <f aca="false">F49+F14+F15</f>
        <v>216.669446248396</v>
      </c>
    </row>
    <row r="51" customFormat="false" ht="15" hidden="false" customHeight="false" outlineLevel="0" collapsed="false">
      <c r="A51" s="10" t="s">
        <v>544</v>
      </c>
      <c r="B51" s="47" t="n">
        <f aca="false">Historicals!$B$36+Historicals!$B$37</f>
        <v>89.855</v>
      </c>
      <c r="C51" s="47" t="n">
        <f aca="false">B62</f>
        <v>68.0177035175879</v>
      </c>
      <c r="D51" s="47" t="n">
        <f aca="false">C62</f>
        <v>10</v>
      </c>
      <c r="E51" s="47" t="n">
        <f aca="false">D62</f>
        <v>10</v>
      </c>
      <c r="F51" s="47" t="n">
        <f aca="false">E62</f>
        <v>57.2854021540298</v>
      </c>
    </row>
    <row r="52" customFormat="false" ht="15" hidden="false" customHeight="false" outlineLevel="0" collapsed="false">
      <c r="A52" s="10" t="s">
        <v>545</v>
      </c>
      <c r="B52" s="47" t="n">
        <f aca="false">Historicals!$B$38</f>
        <v>38.844</v>
      </c>
      <c r="C52" s="47" t="n">
        <f aca="false">B63</f>
        <v>38.844</v>
      </c>
      <c r="D52" s="47" t="n">
        <f aca="false">C63</f>
        <v>59.7855150125628</v>
      </c>
      <c r="E52" s="47" t="n">
        <f aca="false">D63</f>
        <v>117.726658284181</v>
      </c>
      <c r="F52" s="47" t="n">
        <f aca="false">E63</f>
        <v>117.726658284181</v>
      </c>
    </row>
    <row r="53" customFormat="false" ht="15" hidden="false" customHeight="false" outlineLevel="0" collapsed="false">
      <c r="A53" s="10" t="s">
        <v>546</v>
      </c>
      <c r="B53" s="26" t="n">
        <v>0</v>
      </c>
      <c r="C53" s="47" t="n">
        <f aca="false">Inputs!$B$62</f>
        <v>0</v>
      </c>
      <c r="D53" s="26" t="n">
        <v>0</v>
      </c>
      <c r="E53" s="26" t="n">
        <v>0</v>
      </c>
      <c r="F53" s="26" t="n">
        <v>0</v>
      </c>
    </row>
    <row r="54" customFormat="false" ht="15" hidden="false" customHeight="false" outlineLevel="0" collapsed="false">
      <c r="A54" s="10" t="s">
        <v>547</v>
      </c>
      <c r="B54" s="47" t="n">
        <f aca="false">(B51+B50-B53+Inputs!$B$60/4*B51/2-Inputs!$B$61/4*(B52-B53/2))/(1-Inputs!$B$60/4/2)</f>
        <v>68.0177035175879</v>
      </c>
      <c r="C54" s="47" t="n">
        <f aca="false">(C51+C50-C53+Inputs!$B$60*C51/2-Inputs!$B$61*(C52-C53/2))/(1-Inputs!$B$60/2)</f>
        <v>-10.5141371551636</v>
      </c>
      <c r="D54" s="47" t="n">
        <f aca="false">(D51+D50-D53+Inputs!$B$60*D51/2-Inputs!$B$61*(D52-D53/2))/(1-Inputs!$B$60/2)</f>
        <v>-46.7586709599528</v>
      </c>
      <c r="E54" s="47" t="n">
        <f aca="false">(E51+E50-E53+Inputs!$B$60*E51/2-Inputs!$B$61*(E52-E53/2))/(1-Inputs!$B$60/2)</f>
        <v>57.2854021540298</v>
      </c>
      <c r="F54" s="47" t="n">
        <f aca="false">(F51+F50-F53+Inputs!$B$60*F51/2-Inputs!$B$61*(F52-F53/2))/(1-Inputs!$B$60/2)</f>
        <v>273.507098926995</v>
      </c>
    </row>
    <row r="55" customFormat="false" ht="15" hidden="false" customHeight="false" outlineLevel="0" collapsed="false">
      <c r="A55" s="10" t="s">
        <v>548</v>
      </c>
      <c r="B55" s="47" t="n">
        <f aca="false">IF(B54&gt;=Inputs!$B$66,0,(Inputs!$B$66-B51-B50+B53-Inputs!$B$60/4*(B51+Inputs!$B$66)/2+Inputs!$B$61/4*(B52-B53/2))/(1-Inputs!$B$61/4*Inputs!$B$69/(2*(1-Inputs!$B$70))))</f>
        <v>0</v>
      </c>
      <c r="C55" s="47" t="n">
        <f aca="false">IF(C54&gt;=Inputs!$B$66,0,(Inputs!$B$66-C51-C50+C53-Inputs!$B$60*(C51+Inputs!$B$66)/2+Inputs!$B$61*(C52-C53/2))/(1-Inputs!$B$61*Inputs!$B$69/(2*(1-Inputs!$B$70))))</f>
        <v>20.7320998624372</v>
      </c>
      <c r="D55" s="47" t="n">
        <f aca="false">IF(D54&gt;=Inputs!$B$66,0,(Inputs!$B$66-D51-D50+D53-Inputs!$B$60*(D51+Inputs!$B$66)/2+Inputs!$B$61*(D52-D53/2))/(1-Inputs!$B$61*Inputs!$B$69/(2*(1-Inputs!$B$70))))</f>
        <v>57.3617318389023</v>
      </c>
      <c r="E55" s="47" t="n">
        <f aca="false">IF(E54&gt;=Inputs!$B$66,0,(Inputs!$B$66-E51-E50+E53-Inputs!$B$60*(E51+Inputs!$B$66)/2+Inputs!$B$61*(E52-E53/2))/(1-Inputs!$B$61*Inputs!$B$69/(2*(1-Inputs!$B$70))))</f>
        <v>0</v>
      </c>
      <c r="F55" s="47" t="n">
        <f aca="false">IF(F54&gt;=Inputs!$B$66,0,(Inputs!$B$66-F51-F50+F53-Inputs!$B$60*(F51+Inputs!$B$66)/2+Inputs!$B$61*(F52-F53/2))/(1-Inputs!$B$61*Inputs!$B$69/(2*(1-Inputs!$B$70))))</f>
        <v>0</v>
      </c>
    </row>
    <row r="56" customFormat="false" ht="15" hidden="false" customHeight="false" outlineLevel="0" collapsed="false">
      <c r="A56" s="10" t="s">
        <v>549</v>
      </c>
      <c r="B56" s="47" t="n">
        <f aca="false">B55/(1-Inputs!$B$70)</f>
        <v>0</v>
      </c>
      <c r="C56" s="47" t="n">
        <f aca="false">C55/(1-Inputs!$B$70)</f>
        <v>20.9415150125628</v>
      </c>
      <c r="D56" s="47" t="n">
        <f aca="false">D55/(1-Inputs!$B$70)</f>
        <v>57.9411432716185</v>
      </c>
      <c r="E56" s="47" t="n">
        <f aca="false">E55/(1-Inputs!$B$70)</f>
        <v>0</v>
      </c>
      <c r="F56" s="47" t="n">
        <f aca="false">F55/(1-Inputs!$B$70)</f>
        <v>0</v>
      </c>
    </row>
    <row r="57" customFormat="false" ht="15" hidden="false" customHeight="false" outlineLevel="0" collapsed="false">
      <c r="A57" s="10" t="s">
        <v>550</v>
      </c>
      <c r="B57" s="47" t="n">
        <f aca="false">B56*Inputs!$B$69</f>
        <v>0</v>
      </c>
      <c r="C57" s="47" t="n">
        <f aca="false">C56*Inputs!$B$69</f>
        <v>20.9415150125628</v>
      </c>
      <c r="D57" s="47" t="n">
        <f aca="false">D56*Inputs!$B$69</f>
        <v>57.9411432716185</v>
      </c>
      <c r="E57" s="47" t="n">
        <f aca="false">E56*Inputs!$B$69</f>
        <v>0</v>
      </c>
      <c r="F57" s="47" t="n">
        <f aca="false">F56*Inputs!$B$69</f>
        <v>0</v>
      </c>
    </row>
    <row r="58" customFormat="false" ht="15" hidden="false" customHeight="false" outlineLevel="0" collapsed="false">
      <c r="A58" s="10" t="s">
        <v>551</v>
      </c>
      <c r="B58" s="47" t="n">
        <f aca="false">B56-B57</f>
        <v>0</v>
      </c>
      <c r="C58" s="47" t="n">
        <f aca="false">C56-C57</f>
        <v>0</v>
      </c>
      <c r="D58" s="47" t="n">
        <f aca="false">D56-D57</f>
        <v>0</v>
      </c>
      <c r="E58" s="47" t="n">
        <f aca="false">E56-E57</f>
        <v>0</v>
      </c>
      <c r="F58" s="47" t="n">
        <f aca="false">F56-F57</f>
        <v>0</v>
      </c>
    </row>
    <row r="59" customFormat="false" ht="15" hidden="false" customHeight="false" outlineLevel="0" collapsed="false">
      <c r="A59" s="10" t="s">
        <v>552</v>
      </c>
      <c r="B59" s="47" t="n">
        <f aca="false">B56-B55</f>
        <v>0</v>
      </c>
      <c r="C59" s="47" t="n">
        <f aca="false">C56-C55</f>
        <v>0.209415150125629</v>
      </c>
      <c r="D59" s="47" t="n">
        <f aca="false">D56-D55</f>
        <v>0.579411432716185</v>
      </c>
      <c r="E59" s="47" t="n">
        <f aca="false">E56-E55</f>
        <v>0</v>
      </c>
      <c r="F59" s="47" t="n">
        <f aca="false">F56-F55</f>
        <v>0</v>
      </c>
    </row>
    <row r="60" customFormat="false" ht="15" hidden="false" customHeight="false" outlineLevel="0" collapsed="false">
      <c r="A60" s="10" t="s">
        <v>553</v>
      </c>
      <c r="B60" s="47" t="n">
        <f aca="false">Inputs!$B$60/4*(B51+B62)/2</f>
        <v>0.78936351758794</v>
      </c>
      <c r="C60" s="47" t="n">
        <f aca="false">Inputs!$B$60*(C51+C62)/2</f>
        <v>1.56035407035176</v>
      </c>
      <c r="D60" s="47" t="n">
        <f aca="false">Inputs!$B$60*(D51+D62)/2</f>
        <v>0.4</v>
      </c>
      <c r="E60" s="47" t="n">
        <f aca="false">Inputs!$B$60*(E51+E62)/2</f>
        <v>1.3457080430806</v>
      </c>
      <c r="F60" s="47" t="n">
        <f aca="false">Inputs!$B$60*(F51+F62)/2</f>
        <v>6.6158500216205</v>
      </c>
    </row>
    <row r="61" customFormat="false" ht="15" hidden="false" customHeight="false" outlineLevel="0" collapsed="false">
      <c r="A61" s="10" t="s">
        <v>554</v>
      </c>
      <c r="B61" s="47" t="n">
        <f aca="false">Inputs!$B$61/4*(B52-B53/2+B57/2)</f>
        <v>0.58266</v>
      </c>
      <c r="C61" s="47" t="n">
        <f aca="false">Inputs!$B$61*(C52-C53/2+C57/2)</f>
        <v>2.95888545037688</v>
      </c>
      <c r="D61" s="47" t="n">
        <f aca="false">Inputs!$B$61*(D52-D53/2+D57/2)</f>
        <v>5.32536519890232</v>
      </c>
      <c r="E61" s="47" t="n">
        <f aca="false">Inputs!$B$61*(E52-E53/2+E57/2)</f>
        <v>7.06359949705088</v>
      </c>
      <c r="F61" s="47" t="n">
        <f aca="false">Inputs!$B$61*(F52-F53/2+F57/2)</f>
        <v>7.06359949705088</v>
      </c>
    </row>
    <row r="62" customFormat="false" ht="15" hidden="false" customHeight="false" outlineLevel="0" collapsed="false">
      <c r="A62" s="13" t="s">
        <v>555</v>
      </c>
      <c r="B62" s="18" t="n">
        <f aca="false">IF(B55&gt;0,Inputs!$B$66,B54)</f>
        <v>68.0177035175879</v>
      </c>
      <c r="C62" s="18" t="n">
        <f aca="false">IF(C55&gt;0,Inputs!$B$66,C54)</f>
        <v>10</v>
      </c>
      <c r="D62" s="18" t="n">
        <f aca="false">IF(D55&gt;0,Inputs!$B$66,D54)</f>
        <v>10</v>
      </c>
      <c r="E62" s="18" t="n">
        <f aca="false">IF(E55&gt;0,Inputs!$B$66,E54)</f>
        <v>57.2854021540298</v>
      </c>
      <c r="F62" s="18" t="n">
        <f aca="false">IF(F55&gt;0,Inputs!$B$66,F54)</f>
        <v>273.507098926995</v>
      </c>
    </row>
    <row r="63" customFormat="false" ht="15" hidden="false" customHeight="false" outlineLevel="0" collapsed="false">
      <c r="A63" s="10" t="s">
        <v>556</v>
      </c>
      <c r="B63" s="47" t="n">
        <f aca="false">B52-B53+B57</f>
        <v>38.844</v>
      </c>
      <c r="C63" s="47" t="n">
        <f aca="false">C52-C53+C57</f>
        <v>59.7855150125628</v>
      </c>
      <c r="D63" s="47" t="n">
        <f aca="false">D52-D53+D57</f>
        <v>117.726658284181</v>
      </c>
      <c r="E63" s="47" t="n">
        <f aca="false">E52-E53+E57</f>
        <v>117.726658284181</v>
      </c>
      <c r="F63" s="47" t="n">
        <f aca="false">F52-F53+F57</f>
        <v>117.726658284181</v>
      </c>
    </row>
    <row r="64" customFormat="false" ht="15" hidden="false" customHeight="false" outlineLevel="0" collapsed="false">
      <c r="A64" s="13" t="s">
        <v>557</v>
      </c>
      <c r="B64" s="18" t="n">
        <f aca="false">B62-B63</f>
        <v>29.1737035175879</v>
      </c>
      <c r="C64" s="18" t="n">
        <f aca="false">C62-C63</f>
        <v>-49.7855150125628</v>
      </c>
      <c r="D64" s="18" t="n">
        <f aca="false">D62-D63</f>
        <v>-107.726658284181</v>
      </c>
      <c r="E64" s="18" t="n">
        <f aca="false">E62-E63</f>
        <v>-60.4412561301516</v>
      </c>
      <c r="F64" s="18" t="n">
        <f aca="false">F62-F63</f>
        <v>155.780440642814</v>
      </c>
    </row>
    <row r="65" customFormat="false" ht="15" hidden="false" customHeight="false" outlineLevel="0" collapsed="false">
      <c r="A65" s="10" t="s">
        <v>558</v>
      </c>
      <c r="B65" s="33" t="n">
        <f aca="false">ROUND(B51+B50-B53+B60-B61+B55-B62,6)</f>
        <v>0</v>
      </c>
      <c r="C65" s="33" t="n">
        <f aca="false">ROUND(C51+C50-C53+C60-C61+C55-C62,6)</f>
        <v>0</v>
      </c>
      <c r="D65" s="33" t="n">
        <f aca="false">ROUND(D51+D50-D53+D60-D61+D55-D62,6)</f>
        <v>0</v>
      </c>
      <c r="E65" s="33" t="n">
        <f aca="false">ROUND(E51+E50-E53+E60-E61+E55-E62,6)</f>
        <v>0</v>
      </c>
      <c r="F65" s="33" t="n">
        <f aca="false">ROUND(F51+F50-F53+F60-F61+F55-F62,6)</f>
        <v>0</v>
      </c>
    </row>
    <row r="66" customFormat="false" ht="15" hidden="false" customHeight="false" outlineLevel="0" collapsed="false">
      <c r="A66" s="10" t="s">
        <v>559</v>
      </c>
      <c r="B66" s="47" t="n">
        <f aca="false">B56</f>
        <v>0</v>
      </c>
      <c r="C66" s="47" t="n">
        <f aca="false">B66+C56</f>
        <v>20.9415150125628</v>
      </c>
      <c r="D66" s="47" t="n">
        <f aca="false">C66+D56</f>
        <v>78.8826582841813</v>
      </c>
      <c r="E66" s="47" t="n">
        <f aca="false">D66+E56</f>
        <v>78.8826582841813</v>
      </c>
      <c r="F66" s="47" t="n">
        <f aca="false">E66+F56</f>
        <v>78.8826582841813</v>
      </c>
    </row>
    <row r="67" customFormat="false" ht="15" hidden="false" customHeight="false" outlineLevel="0" collapsed="false">
      <c r="A67" s="10" t="s">
        <v>560</v>
      </c>
      <c r="B67" s="49" t="str">
        <f aca="false">IF(B66&gt;Inputs!$B$72,"UNFUNDED: above limit",IF(B56&gt;0,"Raising","OK"))</f>
        <v>OK</v>
      </c>
      <c r="C67" s="49" t="str">
        <f aca="false">IF(C66&gt;Inputs!$B$72,"UNFUNDED: above limit",IF(C56&gt;0,"Raising","OK"))</f>
        <v>Raising</v>
      </c>
      <c r="D67" s="49" t="str">
        <f aca="false">IF(D66&gt;Inputs!$B$72,"UNFUNDED: above limit",IF(D56&gt;0,"Raising","OK"))</f>
        <v>Raising</v>
      </c>
      <c r="E67" s="49" t="str">
        <f aca="false">IF(E66&gt;Inputs!$B$72,"UNFUNDED: above limit",IF(E56&gt;0,"Raising","OK"))</f>
        <v>OK</v>
      </c>
      <c r="F67" s="49" t="str">
        <f aca="false">IF(F66&gt;Inputs!$B$72,"UNFUNDED: above limit",IF(F56&gt;0,"Raising","OK"))</f>
        <v>OK</v>
      </c>
    </row>
    <row r="68" customFormat="false" ht="15" hidden="false" customHeight="false" outlineLevel="0" collapsed="false">
      <c r="A68" s="10" t="s">
        <v>561</v>
      </c>
      <c r="B68" s="47" t="n">
        <f aca="false">$F$20</f>
        <v>261.540937827695</v>
      </c>
    </row>
    <row r="69" customFormat="false" ht="15" hidden="false" customHeight="false" outlineLevel="0" collapsed="false">
      <c r="A69" s="10" t="s">
        <v>562</v>
      </c>
      <c r="B69" s="19" t="n">
        <f aca="false">IF(Inputs!$B$8=1,Inputs!$B$79,IFERROR($F$44/$F$20,0))</f>
        <v>0.2416</v>
      </c>
    </row>
    <row r="70" customFormat="false" ht="15" hidden="false" customHeight="false" outlineLevel="0" collapsed="false">
      <c r="A70" s="10" t="s">
        <v>563</v>
      </c>
      <c r="B70" s="47" t="n">
        <f aca="false">$B$68*(1-$B$69)</f>
        <v>198.352647248524</v>
      </c>
    </row>
    <row r="71" customFormat="false" ht="15" hidden="false" customHeight="false" outlineLevel="0" collapsed="false">
      <c r="A71" s="10" t="s">
        <v>564</v>
      </c>
      <c r="B71" s="50" t="n">
        <f aca="false">Inputs!$D$117</f>
        <v>45</v>
      </c>
    </row>
    <row r="72" customFormat="false" ht="15" hidden="false" customHeight="false" outlineLevel="0" collapsed="false">
      <c r="A72" s="10" t="s">
        <v>565</v>
      </c>
      <c r="B72" s="47" t="n">
        <f aca="false">$B$70*$B$71*$F$527</f>
        <v>5879.74646458168</v>
      </c>
    </row>
    <row r="73" customFormat="false" ht="15" hidden="false" customHeight="false" outlineLevel="0" collapsed="false">
      <c r="A73" s="10" t="s">
        <v>566</v>
      </c>
      <c r="B73" s="47" t="n">
        <f aca="false">SUMPRODUCT($C$49:$F$49,$C$527:$F$527)</f>
        <v>-42.3960114679874</v>
      </c>
    </row>
    <row r="74" customFormat="false" ht="15" hidden="false" customHeight="false" outlineLevel="0" collapsed="false">
      <c r="A74" s="10" t="s">
        <v>567</v>
      </c>
      <c r="B74" s="18" t="n">
        <f aca="false">$B$72+$B$73</f>
        <v>5837.35045311369</v>
      </c>
    </row>
    <row r="75" customFormat="false" ht="15" hidden="false" customHeight="false" outlineLevel="0" collapsed="false">
      <c r="A75" s="10" t="s">
        <v>568</v>
      </c>
      <c r="B75" s="47" t="n">
        <f aca="false">$B$70+$F$19-$F$25-$F$48</f>
        <v>127.938700650653</v>
      </c>
    </row>
    <row r="76" customFormat="false" ht="15" hidden="false" customHeight="false" outlineLevel="0" collapsed="false">
      <c r="A76" s="10" t="s">
        <v>569</v>
      </c>
      <c r="B76" s="50" t="n">
        <f aca="false">Inputs!$D$118</f>
        <v>38</v>
      </c>
    </row>
    <row r="77" customFormat="false" ht="15" hidden="false" customHeight="false" outlineLevel="0" collapsed="false">
      <c r="A77" s="10" t="s">
        <v>570</v>
      </c>
      <c r="B77" s="47" t="n">
        <f aca="false">$B$75*$B$76*$F$527</f>
        <v>3202.53302659711</v>
      </c>
    </row>
    <row r="78" customFormat="false" ht="15" hidden="false" customHeight="false" outlineLevel="0" collapsed="false">
      <c r="A78" s="10" t="s">
        <v>571</v>
      </c>
      <c r="B78" s="18" t="n">
        <f aca="false">$B$73+$B$77</f>
        <v>3160.13701512912</v>
      </c>
    </row>
    <row r="79" customFormat="false" ht="15" hidden="false" customHeight="false" outlineLevel="0" collapsed="false">
      <c r="A79" s="13" t="s">
        <v>572</v>
      </c>
      <c r="B79" s="18" t="n">
        <f aca="false">$B$74*Inputs!$B$7+$B$78*(1-Inputs!$B$7)</f>
        <v>4498.7437341214</v>
      </c>
    </row>
    <row r="80" customFormat="false" ht="15" hidden="false" customHeight="false" outlineLevel="0" collapsed="false">
      <c r="A80" s="10" t="s">
        <v>573</v>
      </c>
      <c r="B80" s="47" t="n">
        <f aca="false">MAX(0,$F$30)</f>
        <v>212.251175209185</v>
      </c>
      <c r="H80" s="51" t="n">
        <v>1</v>
      </c>
      <c r="I80" s="51" t="n">
        <v>2</v>
      </c>
      <c r="J80" s="51" t="n">
        <v>3</v>
      </c>
      <c r="K80" s="51" t="n">
        <v>4</v>
      </c>
      <c r="L80" s="51" t="n">
        <v>5</v>
      </c>
      <c r="M80" s="51" t="n">
        <v>6</v>
      </c>
      <c r="N80" s="51" t="n">
        <v>7</v>
      </c>
      <c r="O80" s="51" t="n">
        <v>8</v>
      </c>
      <c r="P80" s="51" t="n">
        <v>9</v>
      </c>
      <c r="Q80" s="51" t="n">
        <v>10</v>
      </c>
      <c r="R80" s="51" t="n">
        <v>11</v>
      </c>
      <c r="S80" s="51" t="n">
        <v>12</v>
      </c>
      <c r="T80" s="51" t="n">
        <v>13</v>
      </c>
      <c r="U80" s="51" t="n">
        <v>14</v>
      </c>
      <c r="V80" s="51" t="n">
        <v>15</v>
      </c>
      <c r="W80" s="51" t="n">
        <v>16</v>
      </c>
      <c r="X80" s="51" t="n">
        <v>17</v>
      </c>
      <c r="Y80" s="51" t="n">
        <v>18</v>
      </c>
      <c r="Z80" s="51" t="n">
        <v>19</v>
      </c>
      <c r="AA80" s="51" t="n">
        <v>20</v>
      </c>
      <c r="AB80" s="51" t="n">
        <v>21</v>
      </c>
      <c r="AC80" s="51" t="n">
        <v>22</v>
      </c>
      <c r="AD80" s="51" t="n">
        <v>23</v>
      </c>
      <c r="AE80" s="51" t="n">
        <v>24</v>
      </c>
      <c r="AF80" s="51" t="n">
        <v>25</v>
      </c>
      <c r="AG80" s="51" t="n">
        <v>26</v>
      </c>
      <c r="AH80" s="51" t="n">
        <v>27</v>
      </c>
      <c r="AI80" s="51" t="n">
        <v>28</v>
      </c>
      <c r="AJ80" s="51" t="n">
        <v>29</v>
      </c>
      <c r="AK80" s="51" t="n">
        <v>30</v>
      </c>
    </row>
    <row r="81" customFormat="false" ht="15" hidden="false" customHeight="false" outlineLevel="0" collapsed="false">
      <c r="A81" s="10" t="s">
        <v>574</v>
      </c>
      <c r="H81" s="25" t="n">
        <f aca="false">1/(1+Inputs!$B$6)^1</f>
        <v>0.900900900900901</v>
      </c>
      <c r="I81" s="25" t="n">
        <f aca="false">1/(1+Inputs!$B$6)^2</f>
        <v>0.811622433244055</v>
      </c>
      <c r="J81" s="25" t="n">
        <f aca="false">1/(1+Inputs!$B$6)^3</f>
        <v>0.73119138130095</v>
      </c>
      <c r="K81" s="25" t="n">
        <f aca="false">1/(1+Inputs!$B$6)^4</f>
        <v>0.658730974145</v>
      </c>
      <c r="L81" s="25" t="n">
        <f aca="false">1/(1+Inputs!$B$6)^5</f>
        <v>0.593451328058559</v>
      </c>
      <c r="M81" s="25" t="n">
        <f aca="false">1/(1+Inputs!$B$6)^6</f>
        <v>0.534640836088791</v>
      </c>
      <c r="N81" s="25" t="n">
        <f aca="false">1/(1+Inputs!$B$6)^7</f>
        <v>0.481658410890803</v>
      </c>
      <c r="O81" s="25" t="n">
        <f aca="false">1/(1+Inputs!$B$6)^8</f>
        <v>0.433926496298021</v>
      </c>
      <c r="P81" s="25" t="n">
        <f aca="false">1/(1+Inputs!$B$6)^9</f>
        <v>0.390924771439658</v>
      </c>
      <c r="Q81" s="25" t="n">
        <f aca="false">1/(1+Inputs!$B$6)^10</f>
        <v>0.352184478774467</v>
      </c>
      <c r="R81" s="25" t="n">
        <f aca="false">1/(1+Inputs!$B$6)^11</f>
        <v>0.317283314211231</v>
      </c>
      <c r="S81" s="25" t="n">
        <f aca="false">1/(1+Inputs!$B$6)^12</f>
        <v>0.285840823613722</v>
      </c>
      <c r="T81" s="25" t="n">
        <f aca="false">1/(1+Inputs!$B$6)^13</f>
        <v>0.257514255507858</v>
      </c>
      <c r="U81" s="25" t="n">
        <f aca="false">1/(1+Inputs!$B$6)^14</f>
        <v>0.231994824781854</v>
      </c>
      <c r="V81" s="25" t="n">
        <f aca="false">1/(1+Inputs!$B$6)^15</f>
        <v>0.209004346650319</v>
      </c>
      <c r="W81" s="25" t="n">
        <f aca="false">1/(1+Inputs!$B$6)^16</f>
        <v>0.188292204189476</v>
      </c>
      <c r="X81" s="25" t="n">
        <f aca="false">1/(1+Inputs!$B$6)^17</f>
        <v>0.169632616386915</v>
      </c>
      <c r="Y81" s="25" t="n">
        <f aca="false">1/(1+Inputs!$B$6)^18</f>
        <v>0.152822176925149</v>
      </c>
      <c r="Z81" s="25" t="n">
        <f aca="false">1/(1+Inputs!$B$6)^19</f>
        <v>0.137677636869504</v>
      </c>
      <c r="AA81" s="25" t="n">
        <f aca="false">1/(1+Inputs!$B$6)^20</f>
        <v>0.124033907089643</v>
      </c>
      <c r="AB81" s="25" t="n">
        <f aca="false">1/(1+Inputs!$B$6)^21</f>
        <v>0.111742258639318</v>
      </c>
      <c r="AC81" s="25" t="n">
        <f aca="false">1/(1+Inputs!$B$6)^22</f>
        <v>0.100668701476863</v>
      </c>
      <c r="AD81" s="25" t="n">
        <f aca="false">1/(1+Inputs!$B$6)^23</f>
        <v>0.0906925238530297</v>
      </c>
      <c r="AE81" s="25" t="n">
        <f aca="false">1/(1+Inputs!$B$6)^24</f>
        <v>0.0817049764441709</v>
      </c>
      <c r="AF81" s="25" t="n">
        <f aca="false">1/(1+Inputs!$B$6)^25</f>
        <v>0.0736080868866405</v>
      </c>
      <c r="AG81" s="25" t="n">
        <f aca="false">1/(1+Inputs!$B$6)^26</f>
        <v>0.0663135917897662</v>
      </c>
      <c r="AH81" s="25" t="n">
        <f aca="false">1/(1+Inputs!$B$6)^27</f>
        <v>0.0597419745853749</v>
      </c>
      <c r="AI81" s="25" t="n">
        <f aca="false">1/(1+Inputs!$B$6)^28</f>
        <v>0.053821598725563</v>
      </c>
      <c r="AJ81" s="25" t="n">
        <f aca="false">1/(1+Inputs!$B$6)^29</f>
        <v>0.0484879267797865</v>
      </c>
      <c r="AK81" s="25" t="n">
        <f aca="false">1/(1+Inputs!$B$6)^30</f>
        <v>0.0436828169187266</v>
      </c>
    </row>
    <row r="82" customFormat="false" ht="15" hidden="false" customHeight="false" outlineLevel="0" collapsed="false">
      <c r="A82" s="10" t="s">
        <v>575</v>
      </c>
      <c r="G82" s="47" t="n">
        <f aca="false">$F$33</f>
        <v>0</v>
      </c>
      <c r="H82" s="47" t="n">
        <f aca="false">G82</f>
        <v>0</v>
      </c>
      <c r="I82" s="47" t="n">
        <f aca="false">H82-H83</f>
        <v>0</v>
      </c>
      <c r="J82" s="47" t="n">
        <f aca="false">I82-I83</f>
        <v>0</v>
      </c>
      <c r="K82" s="47" t="n">
        <f aca="false">J82-J83</f>
        <v>0</v>
      </c>
      <c r="L82" s="47" t="n">
        <f aca="false">K82-K83</f>
        <v>0</v>
      </c>
      <c r="M82" s="47" t="n">
        <f aca="false">L82-L83</f>
        <v>0</v>
      </c>
      <c r="N82" s="47" t="n">
        <f aca="false">M82-M83</f>
        <v>0</v>
      </c>
      <c r="O82" s="47" t="n">
        <f aca="false">N82-N83</f>
        <v>0</v>
      </c>
      <c r="P82" s="47" t="n">
        <f aca="false">O82-O83</f>
        <v>0</v>
      </c>
      <c r="Q82" s="47" t="n">
        <f aca="false">P82-P83</f>
        <v>0</v>
      </c>
      <c r="R82" s="47" t="n">
        <f aca="false">Q82-Q83</f>
        <v>0</v>
      </c>
      <c r="S82" s="47" t="n">
        <f aca="false">R82-R83</f>
        <v>0</v>
      </c>
      <c r="T82" s="47" t="n">
        <f aca="false">S82-S83</f>
        <v>0</v>
      </c>
      <c r="U82" s="47" t="n">
        <f aca="false">T82-T83</f>
        <v>0</v>
      </c>
      <c r="V82" s="47" t="n">
        <f aca="false">U82-U83</f>
        <v>0</v>
      </c>
      <c r="W82" s="47" t="n">
        <f aca="false">V82-V83</f>
        <v>0</v>
      </c>
      <c r="X82" s="47" t="n">
        <f aca="false">W82-W83</f>
        <v>0</v>
      </c>
      <c r="Y82" s="47" t="n">
        <f aca="false">X82-X83</f>
        <v>0</v>
      </c>
      <c r="Z82" s="47" t="n">
        <f aca="false">Y82-Y83</f>
        <v>0</v>
      </c>
      <c r="AA82" s="47" t="n">
        <f aca="false">Z82-Z83</f>
        <v>0</v>
      </c>
      <c r="AB82" s="47" t="n">
        <f aca="false">AA82-AA83</f>
        <v>0</v>
      </c>
      <c r="AC82" s="47" t="n">
        <f aca="false">AB82-AB83</f>
        <v>0</v>
      </c>
      <c r="AD82" s="47" t="n">
        <f aca="false">AC82-AC83</f>
        <v>0</v>
      </c>
      <c r="AE82" s="47" t="n">
        <f aca="false">AD82-AD83</f>
        <v>0</v>
      </c>
      <c r="AF82" s="47" t="n">
        <f aca="false">AE82-AE83</f>
        <v>0</v>
      </c>
      <c r="AG82" s="47" t="n">
        <f aca="false">AF82-AF83</f>
        <v>0</v>
      </c>
      <c r="AH82" s="47" t="n">
        <f aca="false">AG82-AG83</f>
        <v>0</v>
      </c>
      <c r="AI82" s="47" t="n">
        <f aca="false">AH82-AH83</f>
        <v>0</v>
      </c>
      <c r="AJ82" s="47" t="n">
        <f aca="false">AI82-AI83</f>
        <v>0</v>
      </c>
      <c r="AK82" s="47" t="n">
        <f aca="false">AJ82-AJ83</f>
        <v>0</v>
      </c>
    </row>
    <row r="83" customFormat="false" ht="15" hidden="false" customHeight="false" outlineLevel="0" collapsed="false">
      <c r="A83" s="10" t="s">
        <v>576</v>
      </c>
      <c r="H83" s="47" t="n">
        <f aca="false">IF(1&lt;=Inputs!$B$44,MIN(H82,$B$80,Inputs!$B$36),0)</f>
        <v>0</v>
      </c>
      <c r="I83" s="47" t="n">
        <f aca="false">IF(2&lt;=Inputs!$B$44,MIN(I82,$B$80,Inputs!$B$36),0)</f>
        <v>0</v>
      </c>
      <c r="J83" s="47" t="n">
        <f aca="false">IF(3&lt;=Inputs!$B$44,MIN(J82,$B$80,Inputs!$B$36),0)</f>
        <v>0</v>
      </c>
      <c r="K83" s="47" t="n">
        <f aca="false">IF(4&lt;=Inputs!$B$44,MIN(K82,$B$80,Inputs!$B$36),0)</f>
        <v>0</v>
      </c>
      <c r="L83" s="47" t="n">
        <f aca="false">IF(5&lt;=Inputs!$B$44,MIN(L82,$B$80,Inputs!$B$36),0)</f>
        <v>0</v>
      </c>
      <c r="M83" s="47" t="n">
        <f aca="false">IF(6&lt;=Inputs!$B$44,MIN(M82,$B$80,Inputs!$B$36),0)</f>
        <v>0</v>
      </c>
      <c r="N83" s="47" t="n">
        <f aca="false">IF(7&lt;=Inputs!$B$44,MIN(N82,$B$80,Inputs!$B$36),0)</f>
        <v>0</v>
      </c>
      <c r="O83" s="47" t="n">
        <f aca="false">IF(8&lt;=Inputs!$B$44,MIN(O82,$B$80,Inputs!$B$36),0)</f>
        <v>0</v>
      </c>
      <c r="P83" s="47" t="n">
        <f aca="false">IF(9&lt;=Inputs!$B$44,MIN(P82,$B$80,Inputs!$B$36),0)</f>
        <v>0</v>
      </c>
      <c r="Q83" s="47" t="n">
        <f aca="false">IF(10&lt;=Inputs!$B$44,MIN(Q82,$B$80,Inputs!$B$36),0)</f>
        <v>0</v>
      </c>
      <c r="R83" s="47" t="n">
        <f aca="false">IF(11&lt;=Inputs!$B$44,MIN(R82,$B$80,Inputs!$B$36),0)</f>
        <v>0</v>
      </c>
      <c r="S83" s="47" t="n">
        <f aca="false">IF(12&lt;=Inputs!$B$44,MIN(S82,$B$80,Inputs!$B$36),0)</f>
        <v>0</v>
      </c>
      <c r="T83" s="47" t="n">
        <f aca="false">IF(13&lt;=Inputs!$B$44,MIN(T82,$B$80,Inputs!$B$36),0)</f>
        <v>0</v>
      </c>
      <c r="U83" s="47" t="n">
        <f aca="false">IF(14&lt;=Inputs!$B$44,MIN(U82,$B$80,Inputs!$B$36),0)</f>
        <v>0</v>
      </c>
      <c r="V83" s="47" t="n">
        <f aca="false">IF(15&lt;=Inputs!$B$44,MIN(V82,$B$80,Inputs!$B$36),0)</f>
        <v>0</v>
      </c>
      <c r="W83" s="47" t="n">
        <f aca="false">IF(16&lt;=Inputs!$B$44,MIN(W82,$B$80,Inputs!$B$36),0)</f>
        <v>0</v>
      </c>
      <c r="X83" s="47" t="n">
        <f aca="false">IF(17&lt;=Inputs!$B$44,MIN(X82,$B$80,Inputs!$B$36),0)</f>
        <v>0</v>
      </c>
      <c r="Y83" s="47" t="n">
        <f aca="false">IF(18&lt;=Inputs!$B$44,MIN(Y82,$B$80,Inputs!$B$36),0)</f>
        <v>0</v>
      </c>
      <c r="Z83" s="47" t="n">
        <f aca="false">IF(19&lt;=Inputs!$B$44,MIN(Z82,$B$80,Inputs!$B$36),0)</f>
        <v>0</v>
      </c>
      <c r="AA83" s="47" t="n">
        <f aca="false">IF(20&lt;=Inputs!$B$44,MIN(AA82,$B$80,Inputs!$B$36),0)</f>
        <v>0</v>
      </c>
      <c r="AB83" s="47" t="n">
        <f aca="false">IF(21&lt;=Inputs!$B$44,MIN(AB82,$B$80,Inputs!$B$36),0)</f>
        <v>0</v>
      </c>
      <c r="AC83" s="47" t="n">
        <f aca="false">IF(22&lt;=Inputs!$B$44,MIN(AC82,$B$80,Inputs!$B$36),0)</f>
        <v>0</v>
      </c>
      <c r="AD83" s="47" t="n">
        <f aca="false">IF(23&lt;=Inputs!$B$44,MIN(AD82,$B$80,Inputs!$B$36),0)</f>
        <v>0</v>
      </c>
      <c r="AE83" s="47" t="n">
        <f aca="false">IF(24&lt;=Inputs!$B$44,MIN(AE82,$B$80,Inputs!$B$36),0)</f>
        <v>0</v>
      </c>
      <c r="AF83" s="47" t="n">
        <f aca="false">IF(25&lt;=Inputs!$B$44,MIN(AF82,$B$80,Inputs!$B$36),0)</f>
        <v>0</v>
      </c>
      <c r="AG83" s="47" t="n">
        <f aca="false">IF(26&lt;=Inputs!$B$44,MIN(AG82,$B$80,Inputs!$B$36),0)</f>
        <v>0</v>
      </c>
      <c r="AH83" s="47" t="n">
        <f aca="false">IF(27&lt;=Inputs!$B$44,MIN(AH82,$B$80,Inputs!$B$36),0)</f>
        <v>0</v>
      </c>
      <c r="AI83" s="47" t="n">
        <f aca="false">IF(28&lt;=Inputs!$B$44,MIN(AI82,$B$80,Inputs!$B$36),0)</f>
        <v>0</v>
      </c>
      <c r="AJ83" s="47" t="n">
        <f aca="false">IF(29&lt;=Inputs!$B$44,MIN(AJ82,$B$80,Inputs!$B$36),0)</f>
        <v>0</v>
      </c>
      <c r="AK83" s="47" t="n">
        <f aca="false">IF(30&lt;=Inputs!$B$44,MIN(AK82,$B$80,Inputs!$B$36),0)</f>
        <v>0</v>
      </c>
    </row>
    <row r="84" customFormat="false" ht="15" hidden="false" customHeight="false" outlineLevel="0" collapsed="false">
      <c r="A84" s="10" t="s">
        <v>577</v>
      </c>
      <c r="G84" s="47" t="n">
        <f aca="false">$F$34</f>
        <v>0</v>
      </c>
      <c r="H84" s="47" t="n">
        <f aca="false">G84</f>
        <v>0</v>
      </c>
      <c r="I84" s="47" t="n">
        <f aca="false">H84-H85</f>
        <v>0</v>
      </c>
      <c r="J84" s="47" t="n">
        <f aca="false">I84-I85</f>
        <v>0</v>
      </c>
      <c r="K84" s="47" t="n">
        <f aca="false">J84-J85</f>
        <v>0</v>
      </c>
      <c r="L84" s="47" t="n">
        <f aca="false">K84-K85</f>
        <v>0</v>
      </c>
      <c r="M84" s="47" t="n">
        <f aca="false">L84-L85</f>
        <v>0</v>
      </c>
      <c r="N84" s="47" t="n">
        <f aca="false">M84-M85</f>
        <v>0</v>
      </c>
      <c r="O84" s="47" t="n">
        <f aca="false">N84-N85</f>
        <v>0</v>
      </c>
      <c r="P84" s="47" t="n">
        <f aca="false">O84-O85</f>
        <v>0</v>
      </c>
      <c r="Q84" s="47" t="n">
        <f aca="false">P84-P85</f>
        <v>0</v>
      </c>
      <c r="R84" s="47" t="n">
        <f aca="false">Q84-Q85</f>
        <v>0</v>
      </c>
      <c r="S84" s="47" t="n">
        <f aca="false">R84-R85</f>
        <v>0</v>
      </c>
      <c r="T84" s="47" t="n">
        <f aca="false">S84-S85</f>
        <v>0</v>
      </c>
      <c r="U84" s="47" t="n">
        <f aca="false">T84-T85</f>
        <v>0</v>
      </c>
      <c r="V84" s="47" t="n">
        <f aca="false">U84-U85</f>
        <v>0</v>
      </c>
      <c r="W84" s="47" t="n">
        <f aca="false">V84-V85</f>
        <v>0</v>
      </c>
      <c r="X84" s="47" t="n">
        <f aca="false">W84-W85</f>
        <v>0</v>
      </c>
      <c r="Y84" s="47" t="n">
        <f aca="false">X84-X85</f>
        <v>0</v>
      </c>
      <c r="Z84" s="47" t="n">
        <f aca="false">Y84-Y85</f>
        <v>0</v>
      </c>
      <c r="AA84" s="47" t="n">
        <f aca="false">Z84-Z85</f>
        <v>0</v>
      </c>
      <c r="AB84" s="47" t="n">
        <f aca="false">AA84-AA85</f>
        <v>0</v>
      </c>
      <c r="AC84" s="47" t="n">
        <f aca="false">AB84-AB85</f>
        <v>0</v>
      </c>
      <c r="AD84" s="47" t="n">
        <f aca="false">AC84-AC85</f>
        <v>0</v>
      </c>
      <c r="AE84" s="47" t="n">
        <f aca="false">AD84-AD85</f>
        <v>0</v>
      </c>
      <c r="AF84" s="47" t="n">
        <f aca="false">AE84-AE85</f>
        <v>0</v>
      </c>
      <c r="AG84" s="47" t="n">
        <f aca="false">AF84-AF85</f>
        <v>0</v>
      </c>
      <c r="AH84" s="47" t="n">
        <f aca="false">AG84-AG85</f>
        <v>0</v>
      </c>
      <c r="AI84" s="47" t="n">
        <f aca="false">AH84-AH85</f>
        <v>0</v>
      </c>
      <c r="AJ84" s="47" t="n">
        <f aca="false">AI84-AI85</f>
        <v>0</v>
      </c>
      <c r="AK84" s="47" t="n">
        <f aca="false">AJ84-AJ85</f>
        <v>0</v>
      </c>
    </row>
    <row r="85" customFormat="false" ht="15" hidden="false" customHeight="false" outlineLevel="0" collapsed="false">
      <c r="A85" s="10" t="s">
        <v>576</v>
      </c>
      <c r="H85" s="47" t="n">
        <f aca="false">IF(1&lt;=Inputs!$B$44,MIN(H84,$B$80-H83),0)</f>
        <v>0</v>
      </c>
      <c r="I85" s="47" t="n">
        <f aca="false">IF(2&lt;=Inputs!$B$44,MIN(I84,$B$80-I83),0)</f>
        <v>0</v>
      </c>
      <c r="J85" s="47" t="n">
        <f aca="false">IF(3&lt;=Inputs!$B$44,MIN(J84,$B$80-J83),0)</f>
        <v>0</v>
      </c>
      <c r="K85" s="47" t="n">
        <f aca="false">IF(4&lt;=Inputs!$B$44,MIN(K84,$B$80-K83),0)</f>
        <v>0</v>
      </c>
      <c r="L85" s="47" t="n">
        <f aca="false">IF(5&lt;=Inputs!$B$44,MIN(L84,$B$80-L83),0)</f>
        <v>0</v>
      </c>
      <c r="M85" s="47" t="n">
        <f aca="false">IF(6&lt;=Inputs!$B$44,MIN(M84,$B$80-M83),0)</f>
        <v>0</v>
      </c>
      <c r="N85" s="47" t="n">
        <f aca="false">IF(7&lt;=Inputs!$B$44,MIN(N84,$B$80-N83),0)</f>
        <v>0</v>
      </c>
      <c r="O85" s="47" t="n">
        <f aca="false">IF(8&lt;=Inputs!$B$44,MIN(O84,$B$80-O83),0)</f>
        <v>0</v>
      </c>
      <c r="P85" s="47" t="n">
        <f aca="false">IF(9&lt;=Inputs!$B$44,MIN(P84,$B$80-P83),0)</f>
        <v>0</v>
      </c>
      <c r="Q85" s="47" t="n">
        <f aca="false">IF(10&lt;=Inputs!$B$44,MIN(Q84,$B$80-Q83),0)</f>
        <v>0</v>
      </c>
      <c r="R85" s="47" t="n">
        <f aca="false">IF(11&lt;=Inputs!$B$44,MIN(R84,$B$80-R83),0)</f>
        <v>0</v>
      </c>
      <c r="S85" s="47" t="n">
        <f aca="false">IF(12&lt;=Inputs!$B$44,MIN(S84,$B$80-S83),0)</f>
        <v>0</v>
      </c>
      <c r="T85" s="47" t="n">
        <f aca="false">IF(13&lt;=Inputs!$B$44,MIN(T84,$B$80-T83),0)</f>
        <v>0</v>
      </c>
      <c r="U85" s="47" t="n">
        <f aca="false">IF(14&lt;=Inputs!$B$44,MIN(U84,$B$80-U83),0)</f>
        <v>0</v>
      </c>
      <c r="V85" s="47" t="n">
        <f aca="false">IF(15&lt;=Inputs!$B$44,MIN(V84,$B$80-V83),0)</f>
        <v>0</v>
      </c>
      <c r="W85" s="47" t="n">
        <f aca="false">IF(16&lt;=Inputs!$B$44,MIN(W84,$B$80-W83),0)</f>
        <v>0</v>
      </c>
      <c r="X85" s="47" t="n">
        <f aca="false">IF(17&lt;=Inputs!$B$44,MIN(X84,$B$80-X83),0)</f>
        <v>0</v>
      </c>
      <c r="Y85" s="47" t="n">
        <f aca="false">IF(18&lt;=Inputs!$B$44,MIN(Y84,$B$80-Y83),0)</f>
        <v>0</v>
      </c>
      <c r="Z85" s="47" t="n">
        <f aca="false">IF(19&lt;=Inputs!$B$44,MIN(Z84,$B$80-Z83),0)</f>
        <v>0</v>
      </c>
      <c r="AA85" s="47" t="n">
        <f aca="false">IF(20&lt;=Inputs!$B$44,MIN(AA84,$B$80-AA83),0)</f>
        <v>0</v>
      </c>
      <c r="AB85" s="47" t="n">
        <f aca="false">IF(21&lt;=Inputs!$B$44,MIN(AB84,$B$80-AB83),0)</f>
        <v>0</v>
      </c>
      <c r="AC85" s="47" t="n">
        <f aca="false">IF(22&lt;=Inputs!$B$44,MIN(AC84,$B$80-AC83),0)</f>
        <v>0</v>
      </c>
      <c r="AD85" s="47" t="n">
        <f aca="false">IF(23&lt;=Inputs!$B$44,MIN(AD84,$B$80-AD83),0)</f>
        <v>0</v>
      </c>
      <c r="AE85" s="47" t="n">
        <f aca="false">IF(24&lt;=Inputs!$B$44,MIN(AE84,$B$80-AE83),0)</f>
        <v>0</v>
      </c>
      <c r="AF85" s="47" t="n">
        <f aca="false">IF(25&lt;=Inputs!$B$44,MIN(AF84,$B$80-AF83),0)</f>
        <v>0</v>
      </c>
      <c r="AG85" s="47" t="n">
        <f aca="false">IF(26&lt;=Inputs!$B$44,MIN(AG84,$B$80-AG83),0)</f>
        <v>0</v>
      </c>
      <c r="AH85" s="47" t="n">
        <f aca="false">IF(27&lt;=Inputs!$B$44,MIN(AH84,$B$80-AH83),0)</f>
        <v>0</v>
      </c>
      <c r="AI85" s="47" t="n">
        <f aca="false">IF(28&lt;=Inputs!$B$44,MIN(AI84,$B$80-AI83),0)</f>
        <v>0</v>
      </c>
      <c r="AJ85" s="47" t="n">
        <f aca="false">IF(29&lt;=Inputs!$B$44,MIN(AJ84,$B$80-AJ83),0)</f>
        <v>0</v>
      </c>
      <c r="AK85" s="47" t="n">
        <f aca="false">IF(30&lt;=Inputs!$B$44,MIN(AK84,$B$80-AK83),0)</f>
        <v>0</v>
      </c>
    </row>
    <row r="86" customFormat="false" ht="15" hidden="false" customHeight="false" outlineLevel="0" collapsed="false">
      <c r="A86" s="10" t="s">
        <v>578</v>
      </c>
      <c r="H86" s="47" t="n">
        <f aca="false">($B$80-H83-H85)*Inputs!$B$34</f>
        <v>8.49004700836741</v>
      </c>
      <c r="I86" s="47" t="n">
        <f aca="false">($B$80-I83-I85)*Inputs!$B$34</f>
        <v>8.49004700836741</v>
      </c>
      <c r="J86" s="47" t="n">
        <f aca="false">($B$80-J83-J85)*Inputs!$B$34</f>
        <v>8.49004700836741</v>
      </c>
      <c r="K86" s="47" t="n">
        <f aca="false">($B$80-K83-K85)*Inputs!$B$34</f>
        <v>8.49004700836741</v>
      </c>
      <c r="L86" s="47" t="n">
        <f aca="false">($B$80-L83-L85)*Inputs!$B$34</f>
        <v>8.49004700836741</v>
      </c>
      <c r="M86" s="47" t="n">
        <f aca="false">($B$80-M83-M85)*Inputs!$B$34</f>
        <v>8.49004700836741</v>
      </c>
      <c r="N86" s="47" t="n">
        <f aca="false">($B$80-N83-N85)*Inputs!$B$34</f>
        <v>8.49004700836741</v>
      </c>
      <c r="O86" s="47" t="n">
        <f aca="false">($B$80-O83-O85)*Inputs!$B$34</f>
        <v>8.49004700836741</v>
      </c>
      <c r="P86" s="47" t="n">
        <f aca="false">($B$80-P83-P85)*Inputs!$B$34</f>
        <v>8.49004700836741</v>
      </c>
      <c r="Q86" s="47" t="n">
        <f aca="false">($B$80-Q83-Q85)*Inputs!$B$34</f>
        <v>8.49004700836741</v>
      </c>
      <c r="R86" s="47" t="n">
        <f aca="false">($B$80-R83-R85)*Inputs!$B$34</f>
        <v>8.49004700836741</v>
      </c>
      <c r="S86" s="47" t="n">
        <f aca="false">($B$80-S83-S85)*Inputs!$B$34</f>
        <v>8.49004700836741</v>
      </c>
      <c r="T86" s="47" t="n">
        <f aca="false">($B$80-T83-T85)*Inputs!$B$34</f>
        <v>8.49004700836741</v>
      </c>
      <c r="U86" s="47" t="n">
        <f aca="false">($B$80-U83-U85)*Inputs!$B$34</f>
        <v>8.49004700836741</v>
      </c>
      <c r="V86" s="47" t="n">
        <f aca="false">($B$80-V83-V85)*Inputs!$B$34</f>
        <v>8.49004700836741</v>
      </c>
      <c r="W86" s="47" t="n">
        <f aca="false">($B$80-W83-W85)*Inputs!$B$34</f>
        <v>8.49004700836741</v>
      </c>
      <c r="X86" s="47" t="n">
        <f aca="false">($B$80-X83-X85)*Inputs!$B$34</f>
        <v>8.49004700836741</v>
      </c>
      <c r="Y86" s="47" t="n">
        <f aca="false">($B$80-Y83-Y85)*Inputs!$B$34</f>
        <v>8.49004700836741</v>
      </c>
      <c r="Z86" s="47" t="n">
        <f aca="false">($B$80-Z83-Z85)*Inputs!$B$34</f>
        <v>8.49004700836741</v>
      </c>
      <c r="AA86" s="47" t="n">
        <f aca="false">($B$80-AA83-AA85)*Inputs!$B$34</f>
        <v>8.49004700836741</v>
      </c>
      <c r="AB86" s="47" t="n">
        <f aca="false">($B$80-AB83-AB85)*Inputs!$B$34</f>
        <v>8.49004700836741</v>
      </c>
      <c r="AC86" s="47" t="n">
        <f aca="false">($B$80-AC83-AC85)*Inputs!$B$34</f>
        <v>8.49004700836741</v>
      </c>
      <c r="AD86" s="47" t="n">
        <f aca="false">($B$80-AD83-AD85)*Inputs!$B$34</f>
        <v>8.49004700836741</v>
      </c>
      <c r="AE86" s="47" t="n">
        <f aca="false">($B$80-AE83-AE85)*Inputs!$B$34</f>
        <v>8.49004700836741</v>
      </c>
      <c r="AF86" s="47" t="n">
        <f aca="false">($B$80-AF83-AF85)*Inputs!$B$34</f>
        <v>8.49004700836741</v>
      </c>
      <c r="AG86" s="47" t="n">
        <f aca="false">($B$80-AG83-AG85)*Inputs!$B$34</f>
        <v>8.49004700836741</v>
      </c>
      <c r="AH86" s="47" t="n">
        <f aca="false">($B$80-AH83-AH85)*Inputs!$B$34</f>
        <v>8.49004700836741</v>
      </c>
      <c r="AI86" s="47" t="n">
        <f aca="false">($B$80-AI83-AI85)*Inputs!$B$34</f>
        <v>8.49004700836741</v>
      </c>
      <c r="AJ86" s="47" t="n">
        <f aca="false">($B$80-AJ83-AJ85)*Inputs!$B$34</f>
        <v>8.49004700836741</v>
      </c>
      <c r="AK86" s="47" t="n">
        <f aca="false">($B$80-AK83-AK85)*Inputs!$B$34</f>
        <v>8.49004700836741</v>
      </c>
    </row>
    <row r="87" customFormat="false" ht="15" hidden="false" customHeight="false" outlineLevel="0" collapsed="false">
      <c r="A87" s="10" t="s">
        <v>579</v>
      </c>
      <c r="H87" s="47" t="n">
        <f aca="false">$B$80-H86</f>
        <v>203.761128200818</v>
      </c>
      <c r="I87" s="47" t="n">
        <f aca="false">$B$80-I86</f>
        <v>203.761128200818</v>
      </c>
      <c r="J87" s="47" t="n">
        <f aca="false">$B$80-J86</f>
        <v>203.761128200818</v>
      </c>
      <c r="K87" s="47" t="n">
        <f aca="false">$B$80-K86</f>
        <v>203.761128200818</v>
      </c>
      <c r="L87" s="47" t="n">
        <f aca="false">$B$80-L86</f>
        <v>203.761128200818</v>
      </c>
      <c r="M87" s="47" t="n">
        <f aca="false">$B$80-M86</f>
        <v>203.761128200818</v>
      </c>
      <c r="N87" s="47" t="n">
        <f aca="false">$B$80-N86</f>
        <v>203.761128200818</v>
      </c>
      <c r="O87" s="47" t="n">
        <f aca="false">$B$80-O86</f>
        <v>203.761128200818</v>
      </c>
      <c r="P87" s="47" t="n">
        <f aca="false">$B$80-P86</f>
        <v>203.761128200818</v>
      </c>
      <c r="Q87" s="47" t="n">
        <f aca="false">$B$80-Q86</f>
        <v>203.761128200818</v>
      </c>
      <c r="R87" s="47" t="n">
        <f aca="false">$B$80-R86</f>
        <v>203.761128200818</v>
      </c>
      <c r="S87" s="47" t="n">
        <f aca="false">$B$80-S86</f>
        <v>203.761128200818</v>
      </c>
      <c r="T87" s="47" t="n">
        <f aca="false">$B$80-T86</f>
        <v>203.761128200818</v>
      </c>
      <c r="U87" s="47" t="n">
        <f aca="false">$B$80-U86</f>
        <v>203.761128200818</v>
      </c>
      <c r="V87" s="47" t="n">
        <f aca="false">$B$80-V86</f>
        <v>203.761128200818</v>
      </c>
      <c r="W87" s="47" t="n">
        <f aca="false">$B$80-W86</f>
        <v>203.761128200818</v>
      </c>
      <c r="X87" s="47" t="n">
        <f aca="false">$B$80-X86</f>
        <v>203.761128200818</v>
      </c>
      <c r="Y87" s="47" t="n">
        <f aca="false">$B$80-Y86</f>
        <v>203.761128200818</v>
      </c>
      <c r="Z87" s="47" t="n">
        <f aca="false">$B$80-Z86</f>
        <v>203.761128200818</v>
      </c>
      <c r="AA87" s="47" t="n">
        <f aca="false">$B$80-AA86</f>
        <v>203.761128200818</v>
      </c>
      <c r="AB87" s="47" t="n">
        <f aca="false">$B$80-AB86</f>
        <v>203.761128200818</v>
      </c>
      <c r="AC87" s="47" t="n">
        <f aca="false">$B$80-AC86</f>
        <v>203.761128200818</v>
      </c>
      <c r="AD87" s="47" t="n">
        <f aca="false">$B$80-AD86</f>
        <v>203.761128200818</v>
      </c>
      <c r="AE87" s="47" t="n">
        <f aca="false">$B$80-AE86</f>
        <v>203.761128200818</v>
      </c>
      <c r="AF87" s="47" t="n">
        <f aca="false">$B$80-AF86</f>
        <v>203.761128200818</v>
      </c>
      <c r="AG87" s="47" t="n">
        <f aca="false">$B$80-AG86</f>
        <v>203.761128200818</v>
      </c>
      <c r="AH87" s="47" t="n">
        <f aca="false">$B$80-AH86</f>
        <v>203.761128200818</v>
      </c>
      <c r="AI87" s="47" t="n">
        <f aca="false">$B$80-AI86</f>
        <v>203.761128200818</v>
      </c>
      <c r="AJ87" s="47" t="n">
        <f aca="false">$B$80-AJ86</f>
        <v>203.761128200818</v>
      </c>
      <c r="AK87" s="47" t="n">
        <f aca="false">$B$80-AK86</f>
        <v>203.761128200818</v>
      </c>
    </row>
    <row r="88" customFormat="false" ht="15" hidden="false" customHeight="false" outlineLevel="0" collapsed="false">
      <c r="A88" s="10" t="s">
        <v>580</v>
      </c>
      <c r="G88" s="47" t="n">
        <f aca="false">$F$39</f>
        <v>0</v>
      </c>
      <c r="H88" s="47" t="n">
        <f aca="false">G88</f>
        <v>0</v>
      </c>
      <c r="I88" s="47" t="n">
        <f aca="false">H88-H89</f>
        <v>0</v>
      </c>
      <c r="J88" s="47" t="n">
        <f aca="false">I88-I89</f>
        <v>0</v>
      </c>
      <c r="K88" s="47" t="n">
        <f aca="false">J88-J89</f>
        <v>0</v>
      </c>
      <c r="L88" s="47" t="n">
        <f aca="false">K88-K89</f>
        <v>0</v>
      </c>
      <c r="M88" s="47" t="n">
        <f aca="false">L88-L89</f>
        <v>0</v>
      </c>
      <c r="N88" s="47" t="n">
        <f aca="false">M88-M89</f>
        <v>0</v>
      </c>
      <c r="O88" s="47" t="n">
        <f aca="false">N88-N89</f>
        <v>0</v>
      </c>
      <c r="P88" s="47" t="n">
        <f aca="false">O88-O89</f>
        <v>0</v>
      </c>
      <c r="Q88" s="47" t="n">
        <f aca="false">P88-P89</f>
        <v>0</v>
      </c>
      <c r="R88" s="47" t="n">
        <f aca="false">Q88-Q89</f>
        <v>0</v>
      </c>
      <c r="S88" s="47" t="n">
        <f aca="false">R88-R89</f>
        <v>0</v>
      </c>
      <c r="T88" s="47" t="n">
        <f aca="false">S88-S89</f>
        <v>0</v>
      </c>
      <c r="U88" s="47" t="n">
        <f aca="false">T88-T89</f>
        <v>0</v>
      </c>
      <c r="V88" s="47" t="n">
        <f aca="false">U88-U89</f>
        <v>0</v>
      </c>
      <c r="W88" s="47" t="n">
        <f aca="false">V88-V89</f>
        <v>0</v>
      </c>
      <c r="X88" s="47" t="n">
        <f aca="false">W88-W89</f>
        <v>0</v>
      </c>
      <c r="Y88" s="47" t="n">
        <f aca="false">X88-X89</f>
        <v>0</v>
      </c>
      <c r="Z88" s="47" t="n">
        <f aca="false">Y88-Y89</f>
        <v>0</v>
      </c>
      <c r="AA88" s="47" t="n">
        <f aca="false">Z88-Z89</f>
        <v>0</v>
      </c>
      <c r="AB88" s="47" t="n">
        <f aca="false">AA88-AA89</f>
        <v>0</v>
      </c>
      <c r="AC88" s="47" t="n">
        <f aca="false">AB88-AB89</f>
        <v>0</v>
      </c>
      <c r="AD88" s="47" t="n">
        <f aca="false">AC88-AC89</f>
        <v>0</v>
      </c>
      <c r="AE88" s="47" t="n">
        <f aca="false">AD88-AD89</f>
        <v>0</v>
      </c>
      <c r="AF88" s="47" t="n">
        <f aca="false">AE88-AE89</f>
        <v>0</v>
      </c>
      <c r="AG88" s="47" t="n">
        <f aca="false">AF88-AF89</f>
        <v>0</v>
      </c>
      <c r="AH88" s="47" t="n">
        <f aca="false">AG88-AG89</f>
        <v>0</v>
      </c>
      <c r="AI88" s="47" t="n">
        <f aca="false">AH88-AH89</f>
        <v>0</v>
      </c>
      <c r="AJ88" s="47" t="n">
        <f aca="false">AI88-AI89</f>
        <v>0</v>
      </c>
      <c r="AK88" s="47" t="n">
        <f aca="false">AJ88-AJ89</f>
        <v>0</v>
      </c>
    </row>
    <row r="89" customFormat="false" ht="15" hidden="false" customHeight="false" outlineLevel="0" collapsed="false">
      <c r="A89" s="10" t="s">
        <v>581</v>
      </c>
      <c r="H89" s="47" t="n">
        <f aca="false">MIN(H88,Inputs!$B$35*H87,Inputs!$B$36)</f>
        <v>0</v>
      </c>
      <c r="I89" s="47" t="n">
        <f aca="false">MIN(I88,Inputs!$B$35*I87,Inputs!$B$36)</f>
        <v>0</v>
      </c>
      <c r="J89" s="47" t="n">
        <f aca="false">MIN(J88,Inputs!$B$35*J87,Inputs!$B$36)</f>
        <v>0</v>
      </c>
      <c r="K89" s="47" t="n">
        <f aca="false">MIN(K88,Inputs!$B$35*K87,Inputs!$B$36)</f>
        <v>0</v>
      </c>
      <c r="L89" s="47" t="n">
        <f aca="false">MIN(L88,Inputs!$B$35*L87,Inputs!$B$36)</f>
        <v>0</v>
      </c>
      <c r="M89" s="47" t="n">
        <f aca="false">MIN(M88,Inputs!$B$35*M87,Inputs!$B$36)</f>
        <v>0</v>
      </c>
      <c r="N89" s="47" t="n">
        <f aca="false">MIN(N88,Inputs!$B$35*N87,Inputs!$B$36)</f>
        <v>0</v>
      </c>
      <c r="O89" s="47" t="n">
        <f aca="false">MIN(O88,Inputs!$B$35*O87,Inputs!$B$36)</f>
        <v>0</v>
      </c>
      <c r="P89" s="47" t="n">
        <f aca="false">MIN(P88,Inputs!$B$35*P87,Inputs!$B$36)</f>
        <v>0</v>
      </c>
      <c r="Q89" s="47" t="n">
        <f aca="false">MIN(Q88,Inputs!$B$35*Q87,Inputs!$B$36)</f>
        <v>0</v>
      </c>
      <c r="R89" s="47" t="n">
        <f aca="false">MIN(R88,Inputs!$B$35*R87,Inputs!$B$36)</f>
        <v>0</v>
      </c>
      <c r="S89" s="47" t="n">
        <f aca="false">MIN(S88,Inputs!$B$35*S87,Inputs!$B$36)</f>
        <v>0</v>
      </c>
      <c r="T89" s="47" t="n">
        <f aca="false">MIN(T88,Inputs!$B$35*T87,Inputs!$B$36)</f>
        <v>0</v>
      </c>
      <c r="U89" s="47" t="n">
        <f aca="false">MIN(U88,Inputs!$B$35*U87,Inputs!$B$36)</f>
        <v>0</v>
      </c>
      <c r="V89" s="47" t="n">
        <f aca="false">MIN(V88,Inputs!$B$35*V87,Inputs!$B$36)</f>
        <v>0</v>
      </c>
      <c r="W89" s="47" t="n">
        <f aca="false">MIN(W88,Inputs!$B$35*W87,Inputs!$B$36)</f>
        <v>0</v>
      </c>
      <c r="X89" s="47" t="n">
        <f aca="false">MIN(X88,Inputs!$B$35*X87,Inputs!$B$36)</f>
        <v>0</v>
      </c>
      <c r="Y89" s="47" t="n">
        <f aca="false">MIN(Y88,Inputs!$B$35*Y87,Inputs!$B$36)</f>
        <v>0</v>
      </c>
      <c r="Z89" s="47" t="n">
        <f aca="false">MIN(Z88,Inputs!$B$35*Z87,Inputs!$B$36)</f>
        <v>0</v>
      </c>
      <c r="AA89" s="47" t="n">
        <f aca="false">MIN(AA88,Inputs!$B$35*AA87,Inputs!$B$36)</f>
        <v>0</v>
      </c>
      <c r="AB89" s="47" t="n">
        <f aca="false">MIN(AB88,Inputs!$B$35*AB87,Inputs!$B$36)</f>
        <v>0</v>
      </c>
      <c r="AC89" s="47" t="n">
        <f aca="false">MIN(AC88,Inputs!$B$35*AC87,Inputs!$B$36)</f>
        <v>0</v>
      </c>
      <c r="AD89" s="47" t="n">
        <f aca="false">MIN(AD88,Inputs!$B$35*AD87,Inputs!$B$36)</f>
        <v>0</v>
      </c>
      <c r="AE89" s="47" t="n">
        <f aca="false">MIN(AE88,Inputs!$B$35*AE87,Inputs!$B$36)</f>
        <v>0</v>
      </c>
      <c r="AF89" s="47" t="n">
        <f aca="false">MIN(AF88,Inputs!$B$35*AF87,Inputs!$B$36)</f>
        <v>0</v>
      </c>
      <c r="AG89" s="47" t="n">
        <f aca="false">MIN(AG88,Inputs!$B$35*AG87,Inputs!$B$36)</f>
        <v>0</v>
      </c>
      <c r="AH89" s="47" t="n">
        <f aca="false">MIN(AH88,Inputs!$B$35*AH87,Inputs!$B$36)</f>
        <v>0</v>
      </c>
      <c r="AI89" s="47" t="n">
        <f aca="false">MIN(AI88,Inputs!$B$35*AI87,Inputs!$B$36)</f>
        <v>0</v>
      </c>
      <c r="AJ89" s="47" t="n">
        <f aca="false">MIN(AJ88,Inputs!$B$35*AJ87,Inputs!$B$36)</f>
        <v>0</v>
      </c>
      <c r="AK89" s="47" t="n">
        <f aca="false">MIN(AK88,Inputs!$B$35*AK87,Inputs!$B$36)</f>
        <v>0</v>
      </c>
    </row>
    <row r="90" customFormat="false" ht="15" hidden="false" customHeight="false" outlineLevel="0" collapsed="false">
      <c r="A90" s="10" t="s">
        <v>582</v>
      </c>
      <c r="G90" s="47" t="n">
        <f aca="false">$F$40</f>
        <v>0</v>
      </c>
      <c r="H90" s="47" t="n">
        <f aca="false">G90</f>
        <v>0</v>
      </c>
      <c r="I90" s="47" t="n">
        <f aca="false">H90-H91</f>
        <v>0</v>
      </c>
      <c r="J90" s="47" t="n">
        <f aca="false">I90-I91</f>
        <v>0</v>
      </c>
      <c r="K90" s="47" t="n">
        <f aca="false">J90-J91</f>
        <v>0</v>
      </c>
      <c r="L90" s="47" t="n">
        <f aca="false">K90-K91</f>
        <v>0</v>
      </c>
      <c r="M90" s="47" t="n">
        <f aca="false">L90-L91</f>
        <v>0</v>
      </c>
      <c r="N90" s="47" t="n">
        <f aca="false">M90-M91</f>
        <v>0</v>
      </c>
      <c r="O90" s="47" t="n">
        <f aca="false">N90-N91</f>
        <v>0</v>
      </c>
      <c r="P90" s="47" t="n">
        <f aca="false">O90-O91</f>
        <v>0</v>
      </c>
      <c r="Q90" s="47" t="n">
        <f aca="false">P90-P91</f>
        <v>0</v>
      </c>
      <c r="R90" s="47" t="n">
        <f aca="false">Q90-Q91</f>
        <v>0</v>
      </c>
      <c r="S90" s="47" t="n">
        <f aca="false">R90-R91</f>
        <v>0</v>
      </c>
      <c r="T90" s="47" t="n">
        <f aca="false">S90-S91</f>
        <v>0</v>
      </c>
      <c r="U90" s="47" t="n">
        <f aca="false">T90-T91</f>
        <v>0</v>
      </c>
      <c r="V90" s="47" t="n">
        <f aca="false">U90-U91</f>
        <v>0</v>
      </c>
      <c r="W90" s="47" t="n">
        <f aca="false">V90-V91</f>
        <v>0</v>
      </c>
      <c r="X90" s="47" t="n">
        <f aca="false">W90-W91</f>
        <v>0</v>
      </c>
      <c r="Y90" s="47" t="n">
        <f aca="false">X90-X91</f>
        <v>0</v>
      </c>
      <c r="Z90" s="47" t="n">
        <f aca="false">Y90-Y91</f>
        <v>0</v>
      </c>
      <c r="AA90" s="47" t="n">
        <f aca="false">Z90-Z91</f>
        <v>0</v>
      </c>
      <c r="AB90" s="47" t="n">
        <f aca="false">AA90-AA91</f>
        <v>0</v>
      </c>
      <c r="AC90" s="47" t="n">
        <f aca="false">AB90-AB91</f>
        <v>0</v>
      </c>
      <c r="AD90" s="47" t="n">
        <f aca="false">AC90-AC91</f>
        <v>0</v>
      </c>
      <c r="AE90" s="47" t="n">
        <f aca="false">AD90-AD91</f>
        <v>0</v>
      </c>
      <c r="AF90" s="47" t="n">
        <f aca="false">AE90-AE91</f>
        <v>0</v>
      </c>
      <c r="AG90" s="47" t="n">
        <f aca="false">AF90-AF91</f>
        <v>0</v>
      </c>
      <c r="AH90" s="47" t="n">
        <f aca="false">AG90-AG91</f>
        <v>0</v>
      </c>
      <c r="AI90" s="47" t="n">
        <f aca="false">AH90-AH91</f>
        <v>0</v>
      </c>
      <c r="AJ90" s="47" t="n">
        <f aca="false">AI90-AI91</f>
        <v>0</v>
      </c>
      <c r="AK90" s="47" t="n">
        <f aca="false">AJ90-AJ91</f>
        <v>0</v>
      </c>
    </row>
    <row r="91" customFormat="false" ht="15" hidden="false" customHeight="false" outlineLevel="0" collapsed="false">
      <c r="A91" s="10" t="s">
        <v>576</v>
      </c>
      <c r="H91" s="47" t="n">
        <f aca="false">MIN(H90,Inputs!$B$35*H87-H89)</f>
        <v>0</v>
      </c>
      <c r="I91" s="47" t="n">
        <f aca="false">MIN(I90,Inputs!$B$35*I87-I89)</f>
        <v>0</v>
      </c>
      <c r="J91" s="47" t="n">
        <f aca="false">MIN(J90,Inputs!$B$35*J87-J89)</f>
        <v>0</v>
      </c>
      <c r="K91" s="47" t="n">
        <f aca="false">MIN(K90,Inputs!$B$35*K87-K89)</f>
        <v>0</v>
      </c>
      <c r="L91" s="47" t="n">
        <f aca="false">MIN(L90,Inputs!$B$35*L87-L89)</f>
        <v>0</v>
      </c>
      <c r="M91" s="47" t="n">
        <f aca="false">MIN(M90,Inputs!$B$35*M87-M89)</f>
        <v>0</v>
      </c>
      <c r="N91" s="47" t="n">
        <f aca="false">MIN(N90,Inputs!$B$35*N87-N89)</f>
        <v>0</v>
      </c>
      <c r="O91" s="47" t="n">
        <f aca="false">MIN(O90,Inputs!$B$35*O87-O89)</f>
        <v>0</v>
      </c>
      <c r="P91" s="47" t="n">
        <f aca="false">MIN(P90,Inputs!$B$35*P87-P89)</f>
        <v>0</v>
      </c>
      <c r="Q91" s="47" t="n">
        <f aca="false">MIN(Q90,Inputs!$B$35*Q87-Q89)</f>
        <v>0</v>
      </c>
      <c r="R91" s="47" t="n">
        <f aca="false">MIN(R90,Inputs!$B$35*R87-R89)</f>
        <v>0</v>
      </c>
      <c r="S91" s="47" t="n">
        <f aca="false">MIN(S90,Inputs!$B$35*S87-S89)</f>
        <v>0</v>
      </c>
      <c r="T91" s="47" t="n">
        <f aca="false">MIN(T90,Inputs!$B$35*T87-T89)</f>
        <v>0</v>
      </c>
      <c r="U91" s="47" t="n">
        <f aca="false">MIN(U90,Inputs!$B$35*U87-U89)</f>
        <v>0</v>
      </c>
      <c r="V91" s="47" t="n">
        <f aca="false">MIN(V90,Inputs!$B$35*V87-V89)</f>
        <v>0</v>
      </c>
      <c r="W91" s="47" t="n">
        <f aca="false">MIN(W90,Inputs!$B$35*W87-W89)</f>
        <v>0</v>
      </c>
      <c r="X91" s="47" t="n">
        <f aca="false">MIN(X90,Inputs!$B$35*X87-X89)</f>
        <v>0</v>
      </c>
      <c r="Y91" s="47" t="n">
        <f aca="false">MIN(Y90,Inputs!$B$35*Y87-Y89)</f>
        <v>0</v>
      </c>
      <c r="Z91" s="47" t="n">
        <f aca="false">MIN(Z90,Inputs!$B$35*Z87-Z89)</f>
        <v>0</v>
      </c>
      <c r="AA91" s="47" t="n">
        <f aca="false">MIN(AA90,Inputs!$B$35*AA87-AA89)</f>
        <v>0</v>
      </c>
      <c r="AB91" s="47" t="n">
        <f aca="false">MIN(AB90,Inputs!$B$35*AB87-AB89)</f>
        <v>0</v>
      </c>
      <c r="AC91" s="47" t="n">
        <f aca="false">MIN(AC90,Inputs!$B$35*AC87-AC89)</f>
        <v>0</v>
      </c>
      <c r="AD91" s="47" t="n">
        <f aca="false">MIN(AD90,Inputs!$B$35*AD87-AD89)</f>
        <v>0</v>
      </c>
      <c r="AE91" s="47" t="n">
        <f aca="false">MIN(AE90,Inputs!$B$35*AE87-AE89)</f>
        <v>0</v>
      </c>
      <c r="AF91" s="47" t="n">
        <f aca="false">MIN(AF90,Inputs!$B$35*AF87-AF89)</f>
        <v>0</v>
      </c>
      <c r="AG91" s="47" t="n">
        <f aca="false">MIN(AG90,Inputs!$B$35*AG87-AG89)</f>
        <v>0</v>
      </c>
      <c r="AH91" s="47" t="n">
        <f aca="false">MIN(AH90,Inputs!$B$35*AH87-AH89)</f>
        <v>0</v>
      </c>
      <c r="AI91" s="47" t="n">
        <f aca="false">MIN(AI90,Inputs!$B$35*AI87-AI89)</f>
        <v>0</v>
      </c>
      <c r="AJ91" s="47" t="n">
        <f aca="false">MIN(AJ90,Inputs!$B$35*AJ87-AJ89)</f>
        <v>0</v>
      </c>
      <c r="AK91" s="47" t="n">
        <f aca="false">MIN(AK90,Inputs!$B$35*AK87-AK89)</f>
        <v>0</v>
      </c>
    </row>
    <row r="92" customFormat="false" ht="15" hidden="false" customHeight="false" outlineLevel="0" collapsed="false">
      <c r="A92" s="10" t="s">
        <v>583</v>
      </c>
      <c r="H92" s="47" t="n">
        <f aca="false">(H87-H89-H91)*Inputs!$B$33</f>
        <v>42.7898369221717</v>
      </c>
      <c r="I92" s="47" t="n">
        <f aca="false">(I87-I89-I91)*Inputs!$B$33</f>
        <v>42.7898369221717</v>
      </c>
      <c r="J92" s="47" t="n">
        <f aca="false">(J87-J89-J91)*Inputs!$B$33</f>
        <v>42.7898369221717</v>
      </c>
      <c r="K92" s="47" t="n">
        <f aca="false">(K87-K89-K91)*Inputs!$B$33</f>
        <v>42.7898369221717</v>
      </c>
      <c r="L92" s="47" t="n">
        <f aca="false">(L87-L89-L91)*Inputs!$B$33</f>
        <v>42.7898369221717</v>
      </c>
      <c r="M92" s="47" t="n">
        <f aca="false">(M87-M89-M91)*Inputs!$B$33</f>
        <v>42.7898369221717</v>
      </c>
      <c r="N92" s="47" t="n">
        <f aca="false">(N87-N89-N91)*Inputs!$B$33</f>
        <v>42.7898369221717</v>
      </c>
      <c r="O92" s="47" t="n">
        <f aca="false">(O87-O89-O91)*Inputs!$B$33</f>
        <v>42.7898369221717</v>
      </c>
      <c r="P92" s="47" t="n">
        <f aca="false">(P87-P89-P91)*Inputs!$B$33</f>
        <v>42.7898369221717</v>
      </c>
      <c r="Q92" s="47" t="n">
        <f aca="false">(Q87-Q89-Q91)*Inputs!$B$33</f>
        <v>42.7898369221717</v>
      </c>
      <c r="R92" s="47" t="n">
        <f aca="false">(R87-R89-R91)*Inputs!$B$33</f>
        <v>42.7898369221717</v>
      </c>
      <c r="S92" s="47" t="n">
        <f aca="false">(S87-S89-S91)*Inputs!$B$33</f>
        <v>42.7898369221717</v>
      </c>
      <c r="T92" s="47" t="n">
        <f aca="false">(T87-T89-T91)*Inputs!$B$33</f>
        <v>42.7898369221717</v>
      </c>
      <c r="U92" s="47" t="n">
        <f aca="false">(U87-U89-U91)*Inputs!$B$33</f>
        <v>42.7898369221717</v>
      </c>
      <c r="V92" s="47" t="n">
        <f aca="false">(V87-V89-V91)*Inputs!$B$33</f>
        <v>42.7898369221717</v>
      </c>
      <c r="W92" s="47" t="n">
        <f aca="false">(W87-W89-W91)*Inputs!$B$33</f>
        <v>42.7898369221717</v>
      </c>
      <c r="X92" s="47" t="n">
        <f aca="false">(X87-X89-X91)*Inputs!$B$33</f>
        <v>42.7898369221717</v>
      </c>
      <c r="Y92" s="47" t="n">
        <f aca="false">(Y87-Y89-Y91)*Inputs!$B$33</f>
        <v>42.7898369221717</v>
      </c>
      <c r="Z92" s="47" t="n">
        <f aca="false">(Z87-Z89-Z91)*Inputs!$B$33</f>
        <v>42.7898369221717</v>
      </c>
      <c r="AA92" s="47" t="n">
        <f aca="false">(AA87-AA89-AA91)*Inputs!$B$33</f>
        <v>42.7898369221717</v>
      </c>
      <c r="AB92" s="47" t="n">
        <f aca="false">(AB87-AB89-AB91)*Inputs!$B$33</f>
        <v>42.7898369221717</v>
      </c>
      <c r="AC92" s="47" t="n">
        <f aca="false">(AC87-AC89-AC91)*Inputs!$B$33</f>
        <v>42.7898369221717</v>
      </c>
      <c r="AD92" s="47" t="n">
        <f aca="false">(AD87-AD89-AD91)*Inputs!$B$33</f>
        <v>42.7898369221717</v>
      </c>
      <c r="AE92" s="47" t="n">
        <f aca="false">(AE87-AE89-AE91)*Inputs!$B$33</f>
        <v>42.7898369221717</v>
      </c>
      <c r="AF92" s="47" t="n">
        <f aca="false">(AF87-AF89-AF91)*Inputs!$B$33</f>
        <v>42.7898369221717</v>
      </c>
      <c r="AG92" s="47" t="n">
        <f aca="false">(AG87-AG89-AG91)*Inputs!$B$33</f>
        <v>42.7898369221717</v>
      </c>
      <c r="AH92" s="47" t="n">
        <f aca="false">(AH87-AH89-AH91)*Inputs!$B$33</f>
        <v>42.7898369221717</v>
      </c>
      <c r="AI92" s="47" t="n">
        <f aca="false">(AI87-AI89-AI91)*Inputs!$B$33</f>
        <v>42.7898369221717</v>
      </c>
      <c r="AJ92" s="47" t="n">
        <f aca="false">(AJ87-AJ89-AJ91)*Inputs!$B$33</f>
        <v>42.7898369221717</v>
      </c>
      <c r="AK92" s="47" t="n">
        <f aca="false">(AK87-AK89-AK91)*Inputs!$B$33</f>
        <v>42.7898369221717</v>
      </c>
    </row>
    <row r="93" customFormat="false" ht="15" hidden="false" customHeight="false" outlineLevel="0" collapsed="false">
      <c r="A93" s="10" t="s">
        <v>584</v>
      </c>
      <c r="G93" s="47" t="n">
        <f aca="false">$F$43</f>
        <v>0</v>
      </c>
      <c r="H93" s="47" t="n">
        <f aca="false">G93</f>
        <v>0</v>
      </c>
      <c r="I93" s="47" t="n">
        <f aca="false">H93-H94</f>
        <v>0</v>
      </c>
      <c r="J93" s="47" t="n">
        <f aca="false">I93-I94</f>
        <v>0</v>
      </c>
      <c r="K93" s="47" t="n">
        <f aca="false">J93-J94</f>
        <v>0</v>
      </c>
      <c r="L93" s="47" t="n">
        <f aca="false">K93-K94</f>
        <v>0</v>
      </c>
      <c r="M93" s="47" t="n">
        <f aca="false">L93-L94</f>
        <v>0</v>
      </c>
      <c r="N93" s="47" t="n">
        <f aca="false">M93-M94</f>
        <v>0</v>
      </c>
      <c r="O93" s="47" t="n">
        <f aca="false">N93-N94</f>
        <v>0</v>
      </c>
      <c r="P93" s="47" t="n">
        <f aca="false">O93-O94</f>
        <v>0</v>
      </c>
      <c r="Q93" s="47" t="n">
        <f aca="false">P93-P94</f>
        <v>0</v>
      </c>
      <c r="R93" s="47" t="n">
        <f aca="false">Q93-Q94</f>
        <v>0</v>
      </c>
      <c r="S93" s="47" t="n">
        <f aca="false">R93-R94</f>
        <v>0</v>
      </c>
      <c r="T93" s="47" t="n">
        <f aca="false">S93-S94</f>
        <v>0</v>
      </c>
      <c r="U93" s="47" t="n">
        <f aca="false">T93-T94</f>
        <v>0</v>
      </c>
      <c r="V93" s="47" t="n">
        <f aca="false">U93-U94</f>
        <v>0</v>
      </c>
      <c r="W93" s="47" t="n">
        <f aca="false">V93-V94</f>
        <v>0</v>
      </c>
      <c r="X93" s="47" t="n">
        <f aca="false">W93-W94</f>
        <v>0</v>
      </c>
      <c r="Y93" s="47" t="n">
        <f aca="false">X93-X94</f>
        <v>0</v>
      </c>
      <c r="Z93" s="47" t="n">
        <f aca="false">Y93-Y94</f>
        <v>0</v>
      </c>
      <c r="AA93" s="47" t="n">
        <f aca="false">Z93-Z94</f>
        <v>0</v>
      </c>
      <c r="AB93" s="47" t="n">
        <f aca="false">AA93-AA94</f>
        <v>0</v>
      </c>
      <c r="AC93" s="47" t="n">
        <f aca="false">AB93-AB94</f>
        <v>0</v>
      </c>
      <c r="AD93" s="47" t="n">
        <f aca="false">AC93-AC94</f>
        <v>0</v>
      </c>
      <c r="AE93" s="47" t="n">
        <f aca="false">AD93-AD94</f>
        <v>0</v>
      </c>
      <c r="AF93" s="47" t="n">
        <f aca="false">AE93-AE94</f>
        <v>0</v>
      </c>
      <c r="AG93" s="47" t="n">
        <f aca="false">AF93-AF94</f>
        <v>0</v>
      </c>
      <c r="AH93" s="47" t="n">
        <f aca="false">AG93-AG94</f>
        <v>0</v>
      </c>
      <c r="AI93" s="47" t="n">
        <f aca="false">AH93-AH94</f>
        <v>0</v>
      </c>
      <c r="AJ93" s="47" t="n">
        <f aca="false">AI93-AI94</f>
        <v>0</v>
      </c>
      <c r="AK93" s="47" t="n">
        <f aca="false">AJ93-AJ94</f>
        <v>0</v>
      </c>
    </row>
    <row r="94" customFormat="false" ht="15" hidden="false" customHeight="false" outlineLevel="0" collapsed="false">
      <c r="A94" s="10" t="s">
        <v>585</v>
      </c>
      <c r="H94" s="47" t="n">
        <f aca="false">IF(1&lt;=Inputs!$B$43,MIN(H93,H92,MAX(0,Inputs!$B$36-H89)*Inputs!$B$33),0)</f>
        <v>0</v>
      </c>
      <c r="I94" s="47" t="n">
        <f aca="false">IF(2&lt;=Inputs!$B$43,MIN(I93,I92,MAX(0,Inputs!$B$36-I89)*Inputs!$B$33),0)</f>
        <v>0</v>
      </c>
      <c r="J94" s="47" t="n">
        <f aca="false">IF(3&lt;=Inputs!$B$43,MIN(J93,J92,MAX(0,Inputs!$B$36-J89)*Inputs!$B$33),0)</f>
        <v>0</v>
      </c>
      <c r="K94" s="47" t="n">
        <f aca="false">IF(4&lt;=Inputs!$B$43,MIN(K93,K92,MAX(0,Inputs!$B$36-K89)*Inputs!$B$33),0)</f>
        <v>0</v>
      </c>
      <c r="L94" s="47" t="n">
        <f aca="false">IF(5&lt;=Inputs!$B$43,MIN(L93,L92,MAX(0,Inputs!$B$36-L89)*Inputs!$B$33),0)</f>
        <v>0</v>
      </c>
      <c r="M94" s="47" t="n">
        <f aca="false">IF(6&lt;=Inputs!$B$43,MIN(M93,M92,MAX(0,Inputs!$B$36-M89)*Inputs!$B$33),0)</f>
        <v>0</v>
      </c>
      <c r="N94" s="47" t="n">
        <f aca="false">IF(7&lt;=Inputs!$B$43,MIN(N93,N92,MAX(0,Inputs!$B$36-N89)*Inputs!$B$33),0)</f>
        <v>0</v>
      </c>
      <c r="O94" s="47" t="n">
        <f aca="false">IF(8&lt;=Inputs!$B$43,MIN(O93,O92,MAX(0,Inputs!$B$36-O89)*Inputs!$B$33),0)</f>
        <v>0</v>
      </c>
      <c r="P94" s="47" t="n">
        <f aca="false">IF(9&lt;=Inputs!$B$43,MIN(P93,P92,MAX(0,Inputs!$B$36-P89)*Inputs!$B$33),0)</f>
        <v>0</v>
      </c>
      <c r="Q94" s="47" t="n">
        <f aca="false">IF(10&lt;=Inputs!$B$43,MIN(Q93,Q92,MAX(0,Inputs!$B$36-Q89)*Inputs!$B$33),0)</f>
        <v>0</v>
      </c>
      <c r="R94" s="47" t="n">
        <f aca="false">IF(11&lt;=Inputs!$B$43,MIN(R93,R92,MAX(0,Inputs!$B$36-R89)*Inputs!$B$33),0)</f>
        <v>0</v>
      </c>
      <c r="S94" s="47" t="n">
        <f aca="false">IF(12&lt;=Inputs!$B$43,MIN(S93,S92,MAX(0,Inputs!$B$36-S89)*Inputs!$B$33),0)</f>
        <v>0</v>
      </c>
      <c r="T94" s="47" t="n">
        <f aca="false">IF(13&lt;=Inputs!$B$43,MIN(T93,T92,MAX(0,Inputs!$B$36-T89)*Inputs!$B$33),0)</f>
        <v>0</v>
      </c>
      <c r="U94" s="47" t="n">
        <f aca="false">IF(14&lt;=Inputs!$B$43,MIN(U93,U92,MAX(0,Inputs!$B$36-U89)*Inputs!$B$33),0)</f>
        <v>0</v>
      </c>
      <c r="V94" s="47" t="n">
        <f aca="false">IF(15&lt;=Inputs!$B$43,MIN(V93,V92,MAX(0,Inputs!$B$36-V89)*Inputs!$B$33),0)</f>
        <v>0</v>
      </c>
      <c r="W94" s="47" t="n">
        <f aca="false">IF(16&lt;=Inputs!$B$43,MIN(W93,W92,MAX(0,Inputs!$B$36-W89)*Inputs!$B$33),0)</f>
        <v>0</v>
      </c>
      <c r="X94" s="47" t="n">
        <f aca="false">IF(17&lt;=Inputs!$B$43,MIN(X93,X92,MAX(0,Inputs!$B$36-X89)*Inputs!$B$33),0)</f>
        <v>0</v>
      </c>
      <c r="Y94" s="47" t="n">
        <f aca="false">IF(18&lt;=Inputs!$B$43,MIN(Y93,Y92,MAX(0,Inputs!$B$36-Y89)*Inputs!$B$33),0)</f>
        <v>0</v>
      </c>
      <c r="Z94" s="47" t="n">
        <f aca="false">IF(19&lt;=Inputs!$B$43,MIN(Z93,Z92,MAX(0,Inputs!$B$36-Z89)*Inputs!$B$33),0)</f>
        <v>0</v>
      </c>
      <c r="AA94" s="47" t="n">
        <f aca="false">IF(20&lt;=Inputs!$B$43,MIN(AA93,AA92,MAX(0,Inputs!$B$36-AA89)*Inputs!$B$33),0)</f>
        <v>0</v>
      </c>
      <c r="AB94" s="47" t="n">
        <f aca="false">IF(21&lt;=Inputs!$B$43,MIN(AB93,AB92,MAX(0,Inputs!$B$36-AB89)*Inputs!$B$33),0)</f>
        <v>0</v>
      </c>
      <c r="AC94" s="47" t="n">
        <f aca="false">IF(22&lt;=Inputs!$B$43,MIN(AC93,AC92,MAX(0,Inputs!$B$36-AC89)*Inputs!$B$33),0)</f>
        <v>0</v>
      </c>
      <c r="AD94" s="47" t="n">
        <f aca="false">IF(23&lt;=Inputs!$B$43,MIN(AD93,AD92,MAX(0,Inputs!$B$36-AD89)*Inputs!$B$33),0)</f>
        <v>0</v>
      </c>
      <c r="AE94" s="47" t="n">
        <f aca="false">IF(24&lt;=Inputs!$B$43,MIN(AE93,AE92,MAX(0,Inputs!$B$36-AE89)*Inputs!$B$33),0)</f>
        <v>0</v>
      </c>
      <c r="AF94" s="47" t="n">
        <f aca="false">IF(25&lt;=Inputs!$B$43,MIN(AF93,AF92,MAX(0,Inputs!$B$36-AF89)*Inputs!$B$33),0)</f>
        <v>0</v>
      </c>
      <c r="AG94" s="47" t="n">
        <f aca="false">IF(26&lt;=Inputs!$B$43,MIN(AG93,AG92,MAX(0,Inputs!$B$36-AG89)*Inputs!$B$33),0)</f>
        <v>0</v>
      </c>
      <c r="AH94" s="47" t="n">
        <f aca="false">IF(27&lt;=Inputs!$B$43,MIN(AH93,AH92,MAX(0,Inputs!$B$36-AH89)*Inputs!$B$33),0)</f>
        <v>0</v>
      </c>
      <c r="AI94" s="47" t="n">
        <f aca="false">IF(28&lt;=Inputs!$B$43,MIN(AI93,AI92,MAX(0,Inputs!$B$36-AI89)*Inputs!$B$33),0)</f>
        <v>0</v>
      </c>
      <c r="AJ94" s="47" t="n">
        <f aca="false">IF(29&lt;=Inputs!$B$43,MIN(AJ93,AJ92,MAX(0,Inputs!$B$36-AJ89)*Inputs!$B$33),0)</f>
        <v>0</v>
      </c>
      <c r="AK94" s="47" t="n">
        <f aca="false">IF(30&lt;=Inputs!$B$43,MIN(AK93,AK92,MAX(0,Inputs!$B$36-AK89)*Inputs!$B$33),0)</f>
        <v>0</v>
      </c>
    </row>
    <row r="95" customFormat="false" ht="15" hidden="false" customHeight="false" outlineLevel="0" collapsed="false">
      <c r="A95" s="10" t="s">
        <v>586</v>
      </c>
      <c r="H95" s="47" t="n">
        <f aca="false">($B$80*Inputs!$B$34+($B$80-$B$80*Inputs!$B$34)*Inputs!$B$33)-(H86+H92-H94)</f>
        <v>0</v>
      </c>
      <c r="I95" s="47" t="n">
        <f aca="false">($B$80*Inputs!$B$34+($B$80-$B$80*Inputs!$B$34)*Inputs!$B$33)-(I86+I92-I94)</f>
        <v>0</v>
      </c>
      <c r="J95" s="47" t="n">
        <f aca="false">($B$80*Inputs!$B$34+($B$80-$B$80*Inputs!$B$34)*Inputs!$B$33)-(J86+J92-J94)</f>
        <v>0</v>
      </c>
      <c r="K95" s="47" t="n">
        <f aca="false">($B$80*Inputs!$B$34+($B$80-$B$80*Inputs!$B$34)*Inputs!$B$33)-(K86+K92-K94)</f>
        <v>0</v>
      </c>
      <c r="L95" s="47" t="n">
        <f aca="false">($B$80*Inputs!$B$34+($B$80-$B$80*Inputs!$B$34)*Inputs!$B$33)-(L86+L92-L94)</f>
        <v>0</v>
      </c>
      <c r="M95" s="47" t="n">
        <f aca="false">($B$80*Inputs!$B$34+($B$80-$B$80*Inputs!$B$34)*Inputs!$B$33)-(M86+M92-M94)</f>
        <v>0</v>
      </c>
      <c r="N95" s="47" t="n">
        <f aca="false">($B$80*Inputs!$B$34+($B$80-$B$80*Inputs!$B$34)*Inputs!$B$33)-(N86+N92-N94)</f>
        <v>0</v>
      </c>
      <c r="O95" s="47" t="n">
        <f aca="false">($B$80*Inputs!$B$34+($B$80-$B$80*Inputs!$B$34)*Inputs!$B$33)-(O86+O92-O94)</f>
        <v>0</v>
      </c>
      <c r="P95" s="47" t="n">
        <f aca="false">($B$80*Inputs!$B$34+($B$80-$B$80*Inputs!$B$34)*Inputs!$B$33)-(P86+P92-P94)</f>
        <v>0</v>
      </c>
      <c r="Q95" s="47" t="n">
        <f aca="false">($B$80*Inputs!$B$34+($B$80-$B$80*Inputs!$B$34)*Inputs!$B$33)-(Q86+Q92-Q94)</f>
        <v>0</v>
      </c>
      <c r="R95" s="47" t="n">
        <f aca="false">($B$80*Inputs!$B$34+($B$80-$B$80*Inputs!$B$34)*Inputs!$B$33)-(R86+R92-R94)</f>
        <v>0</v>
      </c>
      <c r="S95" s="47" t="n">
        <f aca="false">($B$80*Inputs!$B$34+($B$80-$B$80*Inputs!$B$34)*Inputs!$B$33)-(S86+S92-S94)</f>
        <v>0</v>
      </c>
      <c r="T95" s="47" t="n">
        <f aca="false">($B$80*Inputs!$B$34+($B$80-$B$80*Inputs!$B$34)*Inputs!$B$33)-(T86+T92-T94)</f>
        <v>0</v>
      </c>
      <c r="U95" s="47" t="n">
        <f aca="false">($B$80*Inputs!$B$34+($B$80-$B$80*Inputs!$B$34)*Inputs!$B$33)-(U86+U92-U94)</f>
        <v>0</v>
      </c>
      <c r="V95" s="47" t="n">
        <f aca="false">($B$80*Inputs!$B$34+($B$80-$B$80*Inputs!$B$34)*Inputs!$B$33)-(V86+V92-V94)</f>
        <v>0</v>
      </c>
      <c r="W95" s="47" t="n">
        <f aca="false">($B$80*Inputs!$B$34+($B$80-$B$80*Inputs!$B$34)*Inputs!$B$33)-(W86+W92-W94)</f>
        <v>0</v>
      </c>
      <c r="X95" s="47" t="n">
        <f aca="false">($B$80*Inputs!$B$34+($B$80-$B$80*Inputs!$B$34)*Inputs!$B$33)-(X86+X92-X94)</f>
        <v>0</v>
      </c>
      <c r="Y95" s="47" t="n">
        <f aca="false">($B$80*Inputs!$B$34+($B$80-$B$80*Inputs!$B$34)*Inputs!$B$33)-(Y86+Y92-Y94)</f>
        <v>0</v>
      </c>
      <c r="Z95" s="47" t="n">
        <f aca="false">($B$80*Inputs!$B$34+($B$80-$B$80*Inputs!$B$34)*Inputs!$B$33)-(Z86+Z92-Z94)</f>
        <v>0</v>
      </c>
      <c r="AA95" s="47" t="n">
        <f aca="false">($B$80*Inputs!$B$34+($B$80-$B$80*Inputs!$B$34)*Inputs!$B$33)-(AA86+AA92-AA94)</f>
        <v>0</v>
      </c>
      <c r="AB95" s="47" t="n">
        <f aca="false">($B$80*Inputs!$B$34+($B$80-$B$80*Inputs!$B$34)*Inputs!$B$33)-(AB86+AB92-AB94)</f>
        <v>0</v>
      </c>
      <c r="AC95" s="47" t="n">
        <f aca="false">($B$80*Inputs!$B$34+($B$80-$B$80*Inputs!$B$34)*Inputs!$B$33)-(AC86+AC92-AC94)</f>
        <v>0</v>
      </c>
      <c r="AD95" s="47" t="n">
        <f aca="false">($B$80*Inputs!$B$34+($B$80-$B$80*Inputs!$B$34)*Inputs!$B$33)-(AD86+AD92-AD94)</f>
        <v>0</v>
      </c>
      <c r="AE95" s="47" t="n">
        <f aca="false">($B$80*Inputs!$B$34+($B$80-$B$80*Inputs!$B$34)*Inputs!$B$33)-(AE86+AE92-AE94)</f>
        <v>0</v>
      </c>
      <c r="AF95" s="47" t="n">
        <f aca="false">($B$80*Inputs!$B$34+($B$80-$B$80*Inputs!$B$34)*Inputs!$B$33)-(AF86+AF92-AF94)</f>
        <v>0</v>
      </c>
      <c r="AG95" s="47" t="n">
        <f aca="false">($B$80*Inputs!$B$34+($B$80-$B$80*Inputs!$B$34)*Inputs!$B$33)-(AG86+AG92-AG94)</f>
        <v>0</v>
      </c>
      <c r="AH95" s="47" t="n">
        <f aca="false">($B$80*Inputs!$B$34+($B$80-$B$80*Inputs!$B$34)*Inputs!$B$33)-(AH86+AH92-AH94)</f>
        <v>0</v>
      </c>
      <c r="AI95" s="47" t="n">
        <f aca="false">($B$80*Inputs!$B$34+($B$80-$B$80*Inputs!$B$34)*Inputs!$B$33)-(AI86+AI92-AI94)</f>
        <v>0</v>
      </c>
      <c r="AJ95" s="47" t="n">
        <f aca="false">($B$80*Inputs!$B$34+($B$80-$B$80*Inputs!$B$34)*Inputs!$B$33)-(AJ86+AJ92-AJ94)</f>
        <v>0</v>
      </c>
      <c r="AK95" s="47" t="n">
        <f aca="false">($B$80*Inputs!$B$34+($B$80-$B$80*Inputs!$B$34)*Inputs!$B$33)-(AK86+AK92-AK94)</f>
        <v>0</v>
      </c>
    </row>
    <row r="96" customFormat="false" ht="15" hidden="false" customHeight="false" outlineLevel="0" collapsed="false">
      <c r="A96" s="10" t="s">
        <v>587</v>
      </c>
      <c r="B96" s="47" t="n">
        <f aca="false">SUMPRODUCT($H$95:$AK$95,$H$81:$AK$81)</f>
        <v>0</v>
      </c>
    </row>
    <row r="97" customFormat="false" ht="15" hidden="false" customHeight="false" outlineLevel="0" collapsed="false">
      <c r="A97" s="10" t="s">
        <v>588</v>
      </c>
      <c r="B97" s="47" t="n">
        <f aca="false">Inputs!$B$42*$B$96*$F$527</f>
        <v>0</v>
      </c>
    </row>
    <row r="98" customFormat="false" ht="15" hidden="false" customHeight="false" outlineLevel="0" collapsed="false">
      <c r="A98" s="10" t="s">
        <v>589</v>
      </c>
      <c r="B98" s="47" t="n">
        <f aca="false">$B$64</f>
        <v>29.1737035175879</v>
      </c>
    </row>
    <row r="99" customFormat="false" ht="15" hidden="false" customHeight="false" outlineLevel="0" collapsed="false">
      <c r="A99" s="10" t="s">
        <v>590</v>
      </c>
      <c r="B99" s="47" t="n">
        <f aca="false">0</f>
        <v>0</v>
      </c>
    </row>
    <row r="100" customFormat="false" ht="15" hidden="false" customHeight="false" outlineLevel="0" collapsed="false">
      <c r="A100" s="10" t="s">
        <v>591</v>
      </c>
      <c r="B100" s="47" t="n">
        <f aca="false">SUMPRODUCT($C$59:$F$59,$C$527:$F$527)</f>
        <v>0.658925614281011</v>
      </c>
    </row>
    <row r="101" customFormat="false" ht="15" hidden="false" customHeight="false" outlineLevel="0" collapsed="false">
      <c r="A101" s="13" t="s">
        <v>592</v>
      </c>
      <c r="B101" s="18" t="n">
        <f aca="false">$B$79+$B$97+$B$98+$B$99-$B$100</f>
        <v>4527.25851202471</v>
      </c>
    </row>
    <row r="102" customFormat="false" ht="15" hidden="false" customHeight="false" outlineLevel="0" collapsed="false">
      <c r="A102" s="10" t="s">
        <v>593</v>
      </c>
      <c r="B102" s="25" t="n">
        <f aca="false">Historicals!$B$50+Inputs!$B$15+Inputs!$B$16</f>
        <v>14.1934659057591</v>
      </c>
    </row>
    <row r="103" customFormat="false" ht="15" hidden="false" customHeight="false" outlineLevel="0" collapsed="false">
      <c r="A103" s="10" t="s">
        <v>594</v>
      </c>
      <c r="B103" s="32" t="n">
        <f aca="false">IFERROR(($B$101-$B$58*(1-Inputs!$B$70))/$B$102,0)</f>
        <v>318.967794200833</v>
      </c>
    </row>
    <row r="104" customFormat="false" ht="15" hidden="false" customHeight="false" outlineLevel="0" collapsed="false">
      <c r="A104" s="10" t="s">
        <v>595</v>
      </c>
      <c r="B104" s="25" t="n">
        <f aca="false">IF($B$103&gt;0,$B$58/($B$103*(1-Inputs!$B$71)),0)</f>
        <v>0</v>
      </c>
    </row>
    <row r="105" customFormat="false" ht="15" hidden="false" customHeight="false" outlineLevel="0" collapsed="false">
      <c r="A105" s="10" t="s">
        <v>596</v>
      </c>
      <c r="B105" s="32" t="n">
        <f aca="false">IFERROR($B$101/($B$102+$B$104),0)</f>
        <v>318.967794200833</v>
      </c>
    </row>
    <row r="106" customFormat="false" ht="15" hidden="false" customHeight="false" outlineLevel="0" collapsed="false">
      <c r="A106" s="10" t="s">
        <v>597</v>
      </c>
      <c r="B106" s="47" t="n">
        <f aca="false">SUMPRODUCT($C$58:$F$58,$C$527:$F$527)</f>
        <v>0</v>
      </c>
    </row>
    <row r="107" customFormat="false" ht="15" hidden="false" customHeight="false" outlineLevel="0" collapsed="false">
      <c r="A107" s="10" t="s">
        <v>598</v>
      </c>
      <c r="B107" s="25" t="n">
        <f aca="false">IF($B$105&gt;0,$B$104+$B$106/($B$105*(1-Inputs!$B$71)),0)</f>
        <v>0</v>
      </c>
    </row>
    <row r="108" customFormat="false" ht="15" hidden="false" customHeight="false" outlineLevel="0" collapsed="false">
      <c r="A108" s="13" t="s">
        <v>599</v>
      </c>
      <c r="B108" s="15" t="n">
        <f aca="false">IFERROR(($B$101+$B$106)/($B$102+$B$107),0)</f>
        <v>318.967794200833</v>
      </c>
    </row>
    <row r="109" customFormat="false" ht="15" hidden="false" customHeight="false" outlineLevel="0" collapsed="false">
      <c r="A109" s="10" t="s">
        <v>600</v>
      </c>
      <c r="B109" s="49" t="str">
        <f aca="false">IF($F$66&gt;Inputs!$B$72,"Not meaningful: funding need above limit",IF(OR($B$70&lt;=0,$B$75&lt;=0),"Not meaningful: 2030 profit or cash flow negative",IF(OR($B$74&lt;=0,$B$78&lt;=0),"Not meaningful: a method gives zero or negative value",IF($B$101&lt;=0,"Not meaningful: value at or below zero","OK"))))</f>
        <v>OK</v>
      </c>
    </row>
    <row r="110" customFormat="false" ht="15" hidden="false" customHeight="false" outlineLevel="0" collapsed="false">
      <c r="A110" s="13" t="s">
        <v>601</v>
      </c>
      <c r="B110" s="15" t="n">
        <f aca="false">IF($B$109="OK",$B$108,"unresolved")</f>
        <v>318.967794200833</v>
      </c>
    </row>
    <row r="111" customFormat="false" ht="15" hidden="false" customHeight="false" outlineLevel="0" collapsed="false">
      <c r="A111" s="10" t="s">
        <v>602</v>
      </c>
      <c r="B111" s="47" t="n">
        <f aca="false">IF(ISNUMBER($B$110),$B$110*$B$102,"unresolved")</f>
        <v>4527.25851202471</v>
      </c>
    </row>
    <row r="112" customFormat="false" ht="15" hidden="false" customHeight="false" outlineLevel="0" collapsed="false">
      <c r="A112" s="10" t="s">
        <v>603</v>
      </c>
      <c r="B112" s="47" t="n">
        <f aca="false">IFERROR($B$101-$B$58*(1-Inputs!$B$70)-$B$111,"n/a")</f>
        <v>0</v>
      </c>
    </row>
    <row r="114" customFormat="false" ht="15" hidden="false" customHeight="false" outlineLevel="0" collapsed="false">
      <c r="A114" s="8" t="s">
        <v>604</v>
      </c>
      <c r="B114" s="9" t="s">
        <v>495</v>
      </c>
      <c r="C114" s="9" t="s">
        <v>496</v>
      </c>
      <c r="D114" s="9" t="s">
        <v>497</v>
      </c>
      <c r="E114" s="9" t="s">
        <v>498</v>
      </c>
      <c r="F114" s="9" t="s">
        <v>499</v>
      </c>
    </row>
    <row r="115" customFormat="false" ht="15" hidden="false" customHeight="false" outlineLevel="0" collapsed="false">
      <c r="A115" s="10" t="s">
        <v>605</v>
      </c>
      <c r="B115" s="47" t="n">
        <f aca="false">Historicals!$C$73+Inputs!$D$120</f>
        <v>79.81</v>
      </c>
      <c r="C115" s="47" t="n">
        <f aca="false">B115*(1+Inputs!$D$124)</f>
        <v>86.1948</v>
      </c>
      <c r="D115" s="47" t="n">
        <f aca="false">C115*(1+Inputs!$D$125)</f>
        <v>94.81428</v>
      </c>
      <c r="E115" s="47" t="n">
        <f aca="false">D115*(1+Inputs!$D$126)</f>
        <v>104.295708</v>
      </c>
      <c r="F115" s="47" t="n">
        <f aca="false">E115*(1+Inputs!$D$127)</f>
        <v>114.7252788</v>
      </c>
    </row>
    <row r="116" customFormat="false" ht="15" hidden="false" customHeight="false" outlineLevel="0" collapsed="false">
      <c r="A116" s="10" t="s">
        <v>606</v>
      </c>
      <c r="B116" s="47" t="n">
        <f aca="false">Historicals!$C$74+Inputs!$D$121</f>
        <v>12.128</v>
      </c>
      <c r="C116" s="47" t="n">
        <f aca="false">B116*(1+Inputs!$D$128)</f>
        <v>15.7664</v>
      </c>
      <c r="D116" s="47" t="n">
        <f aca="false">C116*(1+Inputs!$D$129)</f>
        <v>20.49632</v>
      </c>
      <c r="E116" s="47" t="n">
        <f aca="false">D116*(1+Inputs!$D$130)</f>
        <v>26.645216</v>
      </c>
      <c r="F116" s="47" t="n">
        <f aca="false">E116*(1+Inputs!$D$131)</f>
        <v>34.6387808</v>
      </c>
    </row>
    <row r="117" customFormat="false" ht="15" hidden="false" customHeight="false" outlineLevel="0" collapsed="false">
      <c r="A117" s="10" t="s">
        <v>607</v>
      </c>
      <c r="B117" s="47" t="n">
        <f aca="false">Historicals!$C$75+Inputs!$D$122</f>
        <v>18.031</v>
      </c>
      <c r="C117" s="47" t="n">
        <f aca="false">B117*(1+Inputs!$D$132)</f>
        <v>22.53875</v>
      </c>
      <c r="D117" s="47" t="n">
        <f aca="false">C117*(1+Inputs!$D$133)</f>
        <v>28.1734375</v>
      </c>
      <c r="E117" s="47" t="n">
        <f aca="false">D117*(1+Inputs!$D$134)</f>
        <v>35.216796875</v>
      </c>
      <c r="F117" s="47" t="n">
        <f aca="false">E117*(1+Inputs!$D$135)</f>
        <v>44.02099609375</v>
      </c>
    </row>
    <row r="118" customFormat="false" ht="15" hidden="false" customHeight="false" outlineLevel="0" collapsed="false">
      <c r="A118" s="10" t="s">
        <v>608</v>
      </c>
      <c r="B118" s="26" t="n">
        <v>0</v>
      </c>
      <c r="C118" s="47" t="n">
        <f aca="false">1*Inputs!$D$136</f>
        <v>3</v>
      </c>
      <c r="D118" s="47" t="n">
        <f aca="false">1*Inputs!$D$137</f>
        <v>12</v>
      </c>
      <c r="E118" s="47" t="n">
        <f aca="false">1*Inputs!$D$138</f>
        <v>35</v>
      </c>
      <c r="F118" s="47" t="n">
        <f aca="false">1*Inputs!$D$139</f>
        <v>80</v>
      </c>
    </row>
    <row r="119" customFormat="false" ht="15" hidden="false" customHeight="false" outlineLevel="0" collapsed="false">
      <c r="A119" s="13" t="s">
        <v>108</v>
      </c>
      <c r="B119" s="18" t="n">
        <f aca="false">B115+B116+B117+B118</f>
        <v>109.969</v>
      </c>
      <c r="C119" s="18" t="n">
        <f aca="false">C115+C116+C117+C118</f>
        <v>127.49995</v>
      </c>
      <c r="D119" s="18" t="n">
        <f aca="false">D115+D116+D117+D118</f>
        <v>155.4840375</v>
      </c>
      <c r="E119" s="18" t="n">
        <f aca="false">E115+E116+E117+E118</f>
        <v>201.157720875</v>
      </c>
      <c r="F119" s="18" t="n">
        <f aca="false">F115+F116+F117+F118</f>
        <v>273.38505569375</v>
      </c>
    </row>
    <row r="120" customFormat="false" ht="15" hidden="false" customHeight="false" outlineLevel="0" collapsed="false">
      <c r="A120" s="10" t="s">
        <v>501</v>
      </c>
      <c r="C120" s="19" t="n">
        <f aca="false">IFERROR(C119/B119-1,0)</f>
        <v>0.159417199392556</v>
      </c>
      <c r="D120" s="19" t="n">
        <f aca="false">IFERROR(D119/C119-1,0)</f>
        <v>0.2194831252875</v>
      </c>
      <c r="E120" s="19" t="n">
        <f aca="false">IFERROR(E119/D119-1,0)</f>
        <v>0.293751590898841</v>
      </c>
      <c r="F120" s="19" t="n">
        <f aca="false">IFERROR(F119/E119-1,0)</f>
        <v>0.359058228063899</v>
      </c>
    </row>
    <row r="121" customFormat="false" ht="15" hidden="false" customHeight="false" outlineLevel="0" collapsed="false">
      <c r="A121" s="10" t="s">
        <v>609</v>
      </c>
      <c r="C121" s="47" t="n">
        <f aca="false">C115*(Inputs!$D$140+(Inputs!$D$141-Inputs!$D$140)*0/3)</f>
        <v>12.92922</v>
      </c>
      <c r="D121" s="47" t="n">
        <f aca="false">D115*(Inputs!$D$140+(Inputs!$D$141-Inputs!$D$140)*1/3)</f>
        <v>15.80238</v>
      </c>
      <c r="E121" s="47" t="n">
        <f aca="false">E115*(Inputs!$D$140+(Inputs!$D$141-Inputs!$D$140)*2/3)</f>
        <v>19.1208798</v>
      </c>
      <c r="F121" s="47" t="n">
        <f aca="false">F115*(Inputs!$D$140+(Inputs!$D$141-Inputs!$D$140)*3/3)</f>
        <v>22.94505576</v>
      </c>
    </row>
    <row r="122" customFormat="false" ht="15" hidden="false" customHeight="false" outlineLevel="0" collapsed="false">
      <c r="A122" s="10" t="s">
        <v>610</v>
      </c>
      <c r="C122" s="47" t="n">
        <f aca="false">C116*(Inputs!$D$142+(Inputs!$D$143-Inputs!$D$142)*0/3)</f>
        <v>4.887584</v>
      </c>
      <c r="D122" s="47" t="n">
        <f aca="false">D116*(Inputs!$D$142+(Inputs!$D$143-Inputs!$D$142)*1/3)</f>
        <v>6.69546453333333</v>
      </c>
      <c r="E122" s="47" t="n">
        <f aca="false">E116*(Inputs!$D$142+(Inputs!$D$143-Inputs!$D$142)*2/3)</f>
        <v>9.14819082666667</v>
      </c>
      <c r="F122" s="47" t="n">
        <f aca="false">F116*(Inputs!$D$142+(Inputs!$D$143-Inputs!$D$142)*3/3)</f>
        <v>12.469961088</v>
      </c>
    </row>
    <row r="123" customFormat="false" ht="15" hidden="false" customHeight="false" outlineLevel="0" collapsed="false">
      <c r="A123" s="10" t="s">
        <v>611</v>
      </c>
      <c r="C123" s="47" t="n">
        <f aca="false">C117*(Inputs!$D$144+(Inputs!$D$145-Inputs!$D$144)*0/3)</f>
        <v>5.1839125</v>
      </c>
      <c r="D123" s="47" t="n">
        <f aca="false">D117*(Inputs!$D$144+(Inputs!$D$145-Inputs!$D$144)*1/3)</f>
        <v>6.761625</v>
      </c>
      <c r="E123" s="47" t="n">
        <f aca="false">E117*(Inputs!$D$144+(Inputs!$D$145-Inputs!$D$144)*2/3)</f>
        <v>8.80419921875</v>
      </c>
      <c r="F123" s="47" t="n">
        <f aca="false">F117*(Inputs!$D$144+(Inputs!$D$145-Inputs!$D$144)*3/3)</f>
        <v>11.445458984375</v>
      </c>
    </row>
    <row r="124" customFormat="false" ht="15" hidden="false" customHeight="false" outlineLevel="0" collapsed="false">
      <c r="A124" s="10" t="s">
        <v>612</v>
      </c>
      <c r="C124" s="47" t="n">
        <f aca="false">C118*(Inputs!$D$146+(Inputs!$D$147-Inputs!$D$146)*0/3)</f>
        <v>0.33</v>
      </c>
      <c r="D124" s="47" t="n">
        <f aca="false">D118*(Inputs!$D$146+(Inputs!$D$147-Inputs!$D$146)*1/3)</f>
        <v>3.12</v>
      </c>
      <c r="E124" s="47" t="n">
        <f aca="false">E118*(Inputs!$D$146+(Inputs!$D$147-Inputs!$D$146)*2/3)</f>
        <v>14.35</v>
      </c>
      <c r="F124" s="47" t="n">
        <f aca="false">F118*(Inputs!$D$146+(Inputs!$D$147-Inputs!$D$146)*3/3)</f>
        <v>44.8</v>
      </c>
    </row>
    <row r="125" customFormat="false" ht="15" hidden="false" customHeight="false" outlineLevel="0" collapsed="false">
      <c r="A125" s="10" t="s">
        <v>505</v>
      </c>
      <c r="C125" s="47" t="n">
        <f aca="false">C121+C122+C123+C124</f>
        <v>23.3307165</v>
      </c>
      <c r="D125" s="47" t="n">
        <f aca="false">D121+D122+D123+D124</f>
        <v>32.3794695333333</v>
      </c>
      <c r="E125" s="47" t="n">
        <f aca="false">E121+E122+E123+E124</f>
        <v>51.4232698454167</v>
      </c>
      <c r="F125" s="47" t="n">
        <f aca="false">F121+F122+F123+F124</f>
        <v>91.660475832375</v>
      </c>
    </row>
    <row r="126" customFormat="false" ht="15" hidden="false" customHeight="false" outlineLevel="0" collapsed="false">
      <c r="A126" s="10" t="s">
        <v>613</v>
      </c>
      <c r="B126" s="47" t="n">
        <f aca="false">(Inputs!$D$120+Inputs!$D$121+Inputs!$D$122)*Inputs!$D$148</f>
        <v>1.252</v>
      </c>
      <c r="C126" s="47" t="n">
        <f aca="false">C119*Inputs!$D$148</f>
        <v>5.099998</v>
      </c>
      <c r="D126" s="47" t="n">
        <f aca="false">D119*Inputs!$D$148</f>
        <v>6.2193615</v>
      </c>
      <c r="E126" s="47" t="n">
        <f aca="false">E119*Inputs!$D$148</f>
        <v>8.046308835</v>
      </c>
      <c r="F126" s="47" t="n">
        <f aca="false">F119*Inputs!$D$148</f>
        <v>10.93540222775</v>
      </c>
    </row>
    <row r="127" customFormat="false" ht="15" hidden="false" customHeight="false" outlineLevel="0" collapsed="false">
      <c r="A127" s="10" t="s">
        <v>614</v>
      </c>
      <c r="B127" s="26" t="n">
        <v>0</v>
      </c>
      <c r="C127" s="26" t="n">
        <v>0</v>
      </c>
      <c r="D127" s="26" t="n">
        <v>0</v>
      </c>
      <c r="E127" s="26" t="n">
        <v>0</v>
      </c>
      <c r="F127" s="26" t="n">
        <v>0</v>
      </c>
    </row>
    <row r="128" customFormat="false" ht="15" hidden="false" customHeight="false" outlineLevel="0" collapsed="false">
      <c r="A128" s="10" t="s">
        <v>615</v>
      </c>
      <c r="B128" s="47" t="n">
        <f aca="false">Historicals!$C$76+Inputs!$B$53/4</f>
        <v>6.748</v>
      </c>
      <c r="C128" s="47" t="n">
        <f aca="false">Inputs!$B$53*MAX(0,MIN(1,(Inputs!$B$57-1+0.5)/Inputs!$B$57))+$B132*IF(1&lt;=Inputs!$B$49,1,0)/Inputs!$B$49+C131*0.5/Inputs!$B$49</f>
        <v>8.65266604166667</v>
      </c>
      <c r="D128" s="47" t="n">
        <f aca="false">Inputs!$B$53*MAX(0,MIN(1,(Inputs!$B$57-2+0.5)/Inputs!$B$57))+$B132*IF(2&lt;=Inputs!$B$49,1,0)/Inputs!$B$49+C131*IF(1&lt;=Inputs!$B$49-1,1,IF(1=Inputs!$B$49,0.5,0))/Inputs!$B$49+D131*0.5/Inputs!$B$49</f>
        <v>10.870944171875</v>
      </c>
      <c r="E128" s="47" t="n">
        <f aca="false">Inputs!$B$53*MAX(0,MIN(1,(Inputs!$B$57-3+0.5)/Inputs!$B$57))+$B132*IF(3&lt;=Inputs!$B$49,1,0)/Inputs!$B$49+C131*IF(2&lt;=Inputs!$B$49-1,1,IF(2=Inputs!$B$49,0.5,0))/Inputs!$B$49+D131*IF(1&lt;=Inputs!$B$49-1,1,IF(1=Inputs!$B$49,0.5,0))/Inputs!$B$49+E131*0.5/Inputs!$B$49</f>
        <v>13.5070501358333</v>
      </c>
      <c r="F128" s="47" t="n">
        <f aca="false">Inputs!$B$53*MAX(0,MIN(1,(Inputs!$B$57-4+0.5)/Inputs!$B$57))+$B132*IF(4&lt;=Inputs!$B$49,1,0)/Inputs!$B$49+C131*IF(3&lt;=Inputs!$B$49-1,1,IF(3=Inputs!$B$49,0.5,0))/Inputs!$B$49+D131*IF(2&lt;=Inputs!$B$49-1,1,IF(2=Inputs!$B$49,0.5,0))/Inputs!$B$49+E131*IF(1&lt;=Inputs!$B$49-1,1,IF(1=Inputs!$B$49,0.5,0))/Inputs!$B$49+F131*0.5/Inputs!$B$49</f>
        <v>16.786079915237</v>
      </c>
    </row>
    <row r="129" customFormat="false" ht="15" hidden="false" customHeight="false" outlineLevel="0" collapsed="false">
      <c r="A129" s="13" t="s">
        <v>513</v>
      </c>
      <c r="B129" s="18" t="n">
        <f aca="false">Historicals!$C$72+(Inputs!$D$120+Inputs!$D$121+Inputs!$D$122)*Inputs!$D$123</f>
        <v>3.4655</v>
      </c>
      <c r="C129" s="18" t="n">
        <f aca="false">C125-C126-C128</f>
        <v>9.57805245833334</v>
      </c>
      <c r="D129" s="18" t="n">
        <f aca="false">D125-D126-D128</f>
        <v>15.2891638614583</v>
      </c>
      <c r="E129" s="18" t="n">
        <f aca="false">E125-E126-E128</f>
        <v>29.8699108745833</v>
      </c>
      <c r="F129" s="18" t="n">
        <f aca="false">F125-F126-F128</f>
        <v>63.938993689388</v>
      </c>
    </row>
    <row r="130" customFormat="false" ht="15" hidden="false" customHeight="false" outlineLevel="0" collapsed="false">
      <c r="A130" s="10" t="s">
        <v>514</v>
      </c>
      <c r="B130" s="19" t="n">
        <f aca="false">IFERROR(B129/B119,0)</f>
        <v>0.0315134265111077</v>
      </c>
      <c r="C130" s="19" t="n">
        <f aca="false">IFERROR(C129/C119,0)</f>
        <v>0.0751220095249711</v>
      </c>
      <c r="D130" s="19" t="n">
        <f aca="false">IFERROR(D129/D119,0)</f>
        <v>0.0983326912993131</v>
      </c>
      <c r="E130" s="19" t="n">
        <f aca="false">IFERROR(E129/E119,0)</f>
        <v>0.148490004483321</v>
      </c>
      <c r="F130" s="19" t="n">
        <f aca="false">IFERROR(F129/F119,0)</f>
        <v>0.233878891174701</v>
      </c>
    </row>
    <row r="131" customFormat="false" ht="15" hidden="false" customHeight="false" outlineLevel="0" collapsed="false">
      <c r="A131" s="10" t="s">
        <v>616</v>
      </c>
      <c r="B131" s="47" t="n">
        <f aca="false">Inputs!$B$58</f>
        <v>20</v>
      </c>
      <c r="C131" s="47" t="n">
        <f aca="false">C119*(Inputs!$D$149+(Inputs!$D$150-Inputs!$D$149)*0/3)</f>
        <v>25.49999</v>
      </c>
      <c r="D131" s="47" t="n">
        <f aca="false">D119*(Inputs!$D$149+(Inputs!$D$150-Inputs!$D$149)*1/3)</f>
        <v>27.98712675</v>
      </c>
      <c r="E131" s="47" t="n">
        <f aca="false">E119*(Inputs!$D$149+(Inputs!$D$150-Inputs!$D$149)*2/3)</f>
        <v>32.18523534</v>
      </c>
      <c r="F131" s="47" t="n">
        <f aca="false">F119*(Inputs!$D$149+(Inputs!$D$150-Inputs!$D$149)*3/3)</f>
        <v>38.273907797125</v>
      </c>
    </row>
    <row r="132" customFormat="false" ht="15" hidden="false" customHeight="false" outlineLevel="0" collapsed="false">
      <c r="A132" s="10" t="s">
        <v>617</v>
      </c>
      <c r="B132" s="47" t="n">
        <f aca="false">Inputs!$B$58-Historicals!$C$78</f>
        <v>6.986</v>
      </c>
    </row>
    <row r="133" customFormat="false" ht="15" hidden="false" customHeight="false" outlineLevel="0" collapsed="false">
      <c r="A133" s="10" t="s">
        <v>618</v>
      </c>
      <c r="C133" s="48" t="n">
        <f aca="false">IFERROR(C131/C128,0)</f>
        <v>2.9470673983262</v>
      </c>
      <c r="D133" s="48" t="n">
        <f aca="false">IFERROR(D131/D128,0)</f>
        <v>2.57448905150369</v>
      </c>
      <c r="E133" s="48" t="n">
        <f aca="false">IFERROR(E131/E128,0)</f>
        <v>2.38284710697968</v>
      </c>
      <c r="F133" s="48" t="n">
        <f aca="false">IFERROR(F131/F128,0)</f>
        <v>2.28009803303648</v>
      </c>
    </row>
    <row r="134" customFormat="false" ht="15" hidden="false" customHeight="false" outlineLevel="0" collapsed="false">
      <c r="A134" s="10" t="s">
        <v>523</v>
      </c>
      <c r="B134" s="47" t="n">
        <f aca="false">B129-Inputs!$B$38*B131+Inputs!$B$38*B128</f>
        <v>-4.4857</v>
      </c>
      <c r="C134" s="47" t="n">
        <f aca="false">C129-Inputs!$B$38*C131+Inputs!$B$38*C128</f>
        <v>-0.530341916666667</v>
      </c>
      <c r="D134" s="47" t="n">
        <f aca="false">D129-Inputs!$B$38*D131+Inputs!$B$38*D128</f>
        <v>5.01945431458333</v>
      </c>
      <c r="E134" s="47" t="n">
        <f aca="false">E129-Inputs!$B$38*E131+Inputs!$B$38*E128</f>
        <v>18.6629997520833</v>
      </c>
      <c r="F134" s="47" t="n">
        <f aca="false">F129-Inputs!$B$38*F131+Inputs!$B$38*F128</f>
        <v>51.0462969602552</v>
      </c>
    </row>
    <row r="135" customFormat="false" ht="15" hidden="false" customHeight="false" outlineLevel="0" collapsed="false">
      <c r="A135" s="10" t="s">
        <v>524</v>
      </c>
      <c r="B135" s="47" t="n">
        <f aca="false">MIN(0,MAX(0,B134),1E+099)</f>
        <v>0</v>
      </c>
      <c r="C135" s="47" t="n">
        <f aca="false">MIN(B137,MAX(0,C134),1E+099)</f>
        <v>0</v>
      </c>
      <c r="D135" s="47" t="n">
        <f aca="false">MIN(C137,MAX(0,D134),1E+099)</f>
        <v>4.4857</v>
      </c>
      <c r="E135" s="47" t="n">
        <f aca="false">MIN(D137,MAX(0,E134),1E+099)</f>
        <v>0</v>
      </c>
      <c r="F135" s="47" t="n">
        <f aca="false">MIN(E137,MAX(0,F134),1E+099)</f>
        <v>0</v>
      </c>
    </row>
    <row r="136" customFormat="false" ht="15" hidden="false" customHeight="false" outlineLevel="0" collapsed="false">
      <c r="A136" s="10" t="s">
        <v>525</v>
      </c>
      <c r="B136" s="47" t="n">
        <f aca="false">MIN(0,MAX(0,B134)-B135)</f>
        <v>0</v>
      </c>
      <c r="C136" s="47" t="n">
        <f aca="false">MIN(B138,MAX(0,C134)-C135)</f>
        <v>0</v>
      </c>
      <c r="D136" s="47" t="n">
        <f aca="false">MIN(C138,MAX(0,D134)-D135)</f>
        <v>0.530341916666667</v>
      </c>
      <c r="E136" s="47" t="n">
        <f aca="false">MIN(D138,MAX(0,E134)-E135)</f>
        <v>0</v>
      </c>
      <c r="F136" s="47" t="n">
        <f aca="false">MIN(E138,MAX(0,F134)-F135)</f>
        <v>0</v>
      </c>
    </row>
    <row r="137" customFormat="false" ht="15" hidden="false" customHeight="false" outlineLevel="0" collapsed="false">
      <c r="A137" s="10" t="s">
        <v>526</v>
      </c>
      <c r="B137" s="47" t="n">
        <f aca="false">0-B135+MAX(0,-B134)</f>
        <v>4.4857</v>
      </c>
      <c r="C137" s="47" t="n">
        <f aca="false">B137-C135</f>
        <v>4.4857</v>
      </c>
      <c r="D137" s="47" t="n">
        <f aca="false">C137-D135</f>
        <v>0</v>
      </c>
      <c r="E137" s="47" t="n">
        <f aca="false">D137-E135</f>
        <v>0</v>
      </c>
      <c r="F137" s="47" t="n">
        <f aca="false">E137-F135</f>
        <v>0</v>
      </c>
    </row>
    <row r="138" customFormat="false" ht="15" hidden="false" customHeight="false" outlineLevel="0" collapsed="false">
      <c r="A138" s="10" t="s">
        <v>527</v>
      </c>
      <c r="B138" s="26" t="n">
        <v>0</v>
      </c>
      <c r="C138" s="47" t="n">
        <f aca="false">B138-C136+MAX(0,-C134)</f>
        <v>0.530341916666667</v>
      </c>
      <c r="D138" s="47" t="n">
        <f aca="false">C138-D136+MAX(0,-D134)</f>
        <v>0</v>
      </c>
      <c r="E138" s="47" t="n">
        <f aca="false">D138-E136+MAX(0,-E134)</f>
        <v>0</v>
      </c>
      <c r="F138" s="47" t="n">
        <f aca="false">E138-F136+MAX(0,-F134)</f>
        <v>0</v>
      </c>
    </row>
    <row r="139" customFormat="false" ht="15" hidden="false" customHeight="false" outlineLevel="0" collapsed="false">
      <c r="A139" s="10" t="s">
        <v>528</v>
      </c>
      <c r="B139" s="47" t="n">
        <f aca="false">MAX(0,B134-B135-B136)*Inputs!$B$34</f>
        <v>0</v>
      </c>
      <c r="C139" s="47" t="n">
        <f aca="false">MAX(0,C134-C135-C136)*Inputs!$B$34</f>
        <v>0</v>
      </c>
      <c r="D139" s="47" t="n">
        <f aca="false">MAX(0,D134-D135-D136)*Inputs!$B$34</f>
        <v>0.000136495916666348</v>
      </c>
      <c r="E139" s="47" t="n">
        <f aca="false">MAX(0,E134-E135-E136)*Inputs!$B$34</f>
        <v>0.746519990083334</v>
      </c>
      <c r="F139" s="47" t="n">
        <f aca="false">MAX(0,F134-F135-F136)*Inputs!$B$34</f>
        <v>2.04185187841021</v>
      </c>
    </row>
    <row r="140" customFormat="false" ht="15" hidden="false" customHeight="false" outlineLevel="0" collapsed="false">
      <c r="A140" s="10" t="s">
        <v>529</v>
      </c>
      <c r="B140" s="47" t="n">
        <f aca="false">B134-B139</f>
        <v>-4.4857</v>
      </c>
      <c r="C140" s="47" t="n">
        <f aca="false">C134-C139</f>
        <v>-0.530341916666667</v>
      </c>
      <c r="D140" s="47" t="n">
        <f aca="false">D134-D139</f>
        <v>5.01931781866666</v>
      </c>
      <c r="E140" s="47" t="n">
        <f aca="false">E134-E139</f>
        <v>17.916479762</v>
      </c>
      <c r="F140" s="47" t="n">
        <f aca="false">F134-F139</f>
        <v>49.004445081845</v>
      </c>
    </row>
    <row r="141" customFormat="false" ht="15" hidden="false" customHeight="false" outlineLevel="0" collapsed="false">
      <c r="A141" s="10" t="s">
        <v>530</v>
      </c>
      <c r="B141" s="47" t="n">
        <f aca="false">MIN(Inputs!$B$39,Inputs!$B$35*MAX(0,B140),1E+099)</f>
        <v>0</v>
      </c>
      <c r="C141" s="47" t="n">
        <f aca="false">MIN(B143,Inputs!$B$35*MAX(0,C140),1E+099)</f>
        <v>0</v>
      </c>
      <c r="D141" s="47" t="n">
        <f aca="false">MIN(C143,Inputs!$B$35*MAX(0,D140),1E+099)</f>
        <v>4.01545425493333</v>
      </c>
      <c r="E141" s="47" t="n">
        <f aca="false">MIN(D143,Inputs!$B$35*MAX(0,E140),1E+099)</f>
        <v>0.470245745066673</v>
      </c>
      <c r="F141" s="47" t="n">
        <f aca="false">MIN(E143,Inputs!$B$35*MAX(0,F140),1E+099)</f>
        <v>0</v>
      </c>
    </row>
    <row r="142" customFormat="false" ht="15" hidden="false" customHeight="false" outlineLevel="0" collapsed="false">
      <c r="A142" s="10" t="s">
        <v>531</v>
      </c>
      <c r="B142" s="47" t="n">
        <f aca="false">MIN(0,Inputs!$B$35*MAX(0,B140)-B141)</f>
        <v>0</v>
      </c>
      <c r="C142" s="47" t="n">
        <f aca="false">MIN(B144,Inputs!$B$35*MAX(0,C140)-C141)</f>
        <v>0</v>
      </c>
      <c r="D142" s="47" t="n">
        <f aca="false">MIN(C144,Inputs!$B$35*MAX(0,D140)-D141)</f>
        <v>0</v>
      </c>
      <c r="E142" s="47" t="n">
        <f aca="false">MIN(D144,Inputs!$B$35*MAX(0,E140)-E141)</f>
        <v>0.530341916666667</v>
      </c>
      <c r="F142" s="47" t="n">
        <f aca="false">MIN(E144,Inputs!$B$35*MAX(0,F140)-F141)</f>
        <v>0</v>
      </c>
    </row>
    <row r="143" customFormat="false" ht="15" hidden="false" customHeight="false" outlineLevel="0" collapsed="false">
      <c r="A143" s="10" t="s">
        <v>532</v>
      </c>
      <c r="B143" s="47" t="n">
        <f aca="false">Inputs!$B$39-B141+MAX(0,-B140)</f>
        <v>4.4857</v>
      </c>
      <c r="C143" s="47" t="n">
        <f aca="false">B143-C141</f>
        <v>4.4857</v>
      </c>
      <c r="D143" s="47" t="n">
        <f aca="false">C143-D141</f>
        <v>0.470245745066673</v>
      </c>
      <c r="E143" s="47" t="n">
        <f aca="false">D143-E141</f>
        <v>0</v>
      </c>
      <c r="F143" s="47" t="n">
        <f aca="false">E143-F141</f>
        <v>0</v>
      </c>
    </row>
    <row r="144" customFormat="false" ht="15" hidden="false" customHeight="false" outlineLevel="0" collapsed="false">
      <c r="A144" s="10" t="s">
        <v>533</v>
      </c>
      <c r="B144" s="26" t="n">
        <v>0</v>
      </c>
      <c r="C144" s="47" t="n">
        <f aca="false">B144-C142+MAX(0,-C140)</f>
        <v>0.530341916666667</v>
      </c>
      <c r="D144" s="47" t="n">
        <f aca="false">C144-D142+MAX(0,-D140)</f>
        <v>0.530341916666667</v>
      </c>
      <c r="E144" s="47" t="n">
        <f aca="false">D144-E142+MAX(0,-E140)</f>
        <v>0</v>
      </c>
      <c r="F144" s="47" t="n">
        <f aca="false">E144-F142+MAX(0,-F140)</f>
        <v>0</v>
      </c>
    </row>
    <row r="145" customFormat="false" ht="15" hidden="false" customHeight="false" outlineLevel="0" collapsed="false">
      <c r="A145" s="10" t="s">
        <v>534</v>
      </c>
      <c r="B145" s="47" t="n">
        <f aca="false">MAX(0,B140-B141-B142)*Inputs!$B$33</f>
        <v>0</v>
      </c>
      <c r="C145" s="47" t="n">
        <f aca="false">MAX(0,C140-C141-C142)*Inputs!$B$33</f>
        <v>0</v>
      </c>
      <c r="D145" s="47" t="n">
        <f aca="false">MAX(0,D140-D141-D142)*Inputs!$B$33</f>
        <v>0.210811348384</v>
      </c>
      <c r="E145" s="47" t="n">
        <f aca="false">MAX(0,E140-E141-E142)*Inputs!$B$33</f>
        <v>3.552337341056</v>
      </c>
      <c r="F145" s="47" t="n">
        <f aca="false">MAX(0,F140-F141-F142)*Inputs!$B$33</f>
        <v>10.2909334671875</v>
      </c>
    </row>
    <row r="146" customFormat="false" ht="15" hidden="false" customHeight="false" outlineLevel="0" collapsed="false">
      <c r="A146" s="10" t="s">
        <v>535</v>
      </c>
      <c r="B146" s="47" t="n">
        <f aca="false">MIN(0,B145,MAX(0,1E+099-B141)*Inputs!$B$33)</f>
        <v>0</v>
      </c>
      <c r="C146" s="47" t="n">
        <f aca="false">MIN(B147,C145,MAX(0,1E+099-C141)*Inputs!$B$33)</f>
        <v>0</v>
      </c>
      <c r="D146" s="47" t="n">
        <f aca="false">MIN(C147,D145,MAX(0,1E+099-D141)*Inputs!$B$33)</f>
        <v>0</v>
      </c>
      <c r="E146" s="47" t="n">
        <f aca="false">MIN(D147,E145,MAX(0,1E+099-E141)*Inputs!$B$33)</f>
        <v>0</v>
      </c>
      <c r="F146" s="47" t="n">
        <f aca="false">MIN(E147,F145,MAX(0,1E+099-F141)*Inputs!$B$33)</f>
        <v>0</v>
      </c>
    </row>
    <row r="147" customFormat="false" ht="15" hidden="false" customHeight="false" outlineLevel="0" collapsed="false">
      <c r="A147" s="10" t="s">
        <v>536</v>
      </c>
      <c r="B147" s="47" t="n">
        <f aca="false">0-B146</f>
        <v>0</v>
      </c>
      <c r="C147" s="47" t="n">
        <f aca="false">B147-C146</f>
        <v>0</v>
      </c>
      <c r="D147" s="47" t="n">
        <f aca="false">C147-D146</f>
        <v>0</v>
      </c>
      <c r="E147" s="47" t="n">
        <f aca="false">D147-E146</f>
        <v>0</v>
      </c>
      <c r="F147" s="47" t="n">
        <f aca="false">E147-F146</f>
        <v>0</v>
      </c>
    </row>
    <row r="148" customFormat="false" ht="15" hidden="false" customHeight="false" outlineLevel="0" collapsed="false">
      <c r="A148" s="13" t="s">
        <v>537</v>
      </c>
      <c r="B148" s="18" t="n">
        <f aca="false">MAX(0,(Inputs!$D$120+Inputs!$D$121+Inputs!$D$122)*Inputs!$D$123)*Inputs!$B$41</f>
        <v>0.211275</v>
      </c>
      <c r="C148" s="18" t="n">
        <f aca="false">C145-C146+C139</f>
        <v>0</v>
      </c>
      <c r="D148" s="18" t="n">
        <f aca="false">D145-D146+D139</f>
        <v>0.210947844300666</v>
      </c>
      <c r="E148" s="18" t="n">
        <f aca="false">E145-E146+E139</f>
        <v>4.29885733113933</v>
      </c>
      <c r="F148" s="18" t="n">
        <f aca="false">F145-F146+F139</f>
        <v>12.3327853455977</v>
      </c>
    </row>
    <row r="149" customFormat="false" ht="15" hidden="false" customHeight="false" outlineLevel="0" collapsed="false">
      <c r="A149" s="10" t="s">
        <v>538</v>
      </c>
      <c r="B149" s="47" t="n">
        <f aca="false">0+Inputs!$B$38*(B131-B128)</f>
        <v>7.9512</v>
      </c>
      <c r="C149" s="47" t="n">
        <f aca="false">B149+Inputs!$B$38*(C131-C128)</f>
        <v>18.059594375</v>
      </c>
      <c r="D149" s="47" t="n">
        <f aca="false">C149+Inputs!$B$38*(D131-D128)</f>
        <v>28.329303921875</v>
      </c>
      <c r="E149" s="47" t="n">
        <f aca="false">D149+Inputs!$B$38*(E131-E128)</f>
        <v>39.536215044375</v>
      </c>
      <c r="F149" s="47" t="n">
        <f aca="false">E149+Inputs!$B$38*(F131-F128)</f>
        <v>52.4289117735078</v>
      </c>
    </row>
    <row r="150" customFormat="false" ht="15" hidden="false" customHeight="false" outlineLevel="0" collapsed="false">
      <c r="A150" s="10" t="s">
        <v>539</v>
      </c>
      <c r="B150" s="47" t="n">
        <f aca="false">B149*Inputs!$B$79</f>
        <v>1.92100992</v>
      </c>
      <c r="C150" s="47" t="n">
        <f aca="false">C149*Inputs!$B$79</f>
        <v>4.363198001</v>
      </c>
      <c r="D150" s="47" t="n">
        <f aca="false">D149*Inputs!$B$79</f>
        <v>6.844359827525</v>
      </c>
      <c r="E150" s="47" t="n">
        <f aca="false">E149*Inputs!$B$79</f>
        <v>9.551949554721</v>
      </c>
      <c r="F150" s="47" t="n">
        <f aca="false">F149*Inputs!$B$79</f>
        <v>12.6668250844795</v>
      </c>
    </row>
    <row r="151" customFormat="false" ht="15" hidden="false" customHeight="false" outlineLevel="0" collapsed="false">
      <c r="A151" s="10" t="s">
        <v>540</v>
      </c>
      <c r="C151" s="47" t="n">
        <f aca="false">C129-C148</f>
        <v>9.57805245833334</v>
      </c>
      <c r="D151" s="47" t="n">
        <f aca="false">D129-D148</f>
        <v>15.0782160171577</v>
      </c>
      <c r="E151" s="47" t="n">
        <f aca="false">E129-E148</f>
        <v>25.571053543444</v>
      </c>
      <c r="F151" s="47" t="n">
        <f aca="false">F129-F148</f>
        <v>51.6062083437904</v>
      </c>
    </row>
    <row r="152" customFormat="false" ht="15" hidden="false" customHeight="false" outlineLevel="0" collapsed="false">
      <c r="A152" s="10" t="s">
        <v>541</v>
      </c>
      <c r="C152" s="47" t="n">
        <f aca="false">Inputs!$B$65*(C119-B119)</f>
        <v>0</v>
      </c>
      <c r="D152" s="47" t="n">
        <f aca="false">Inputs!$B$65*(D119-C119)</f>
        <v>0</v>
      </c>
      <c r="E152" s="47" t="n">
        <f aca="false">Inputs!$B$65*(E119-D119)</f>
        <v>0</v>
      </c>
      <c r="F152" s="47" t="n">
        <f aca="false">Inputs!$B$65*(F119-E119)</f>
        <v>0</v>
      </c>
    </row>
    <row r="153" customFormat="false" ht="15" hidden="false" customHeight="false" outlineLevel="0" collapsed="false">
      <c r="A153" s="13" t="s">
        <v>542</v>
      </c>
      <c r="B153" s="18" t="n">
        <f aca="false">B154-B126</f>
        <v>-4.101775</v>
      </c>
      <c r="C153" s="18" t="n">
        <f aca="false">C129+C128-C148-C131-C152</f>
        <v>-7.2692715</v>
      </c>
      <c r="D153" s="18" t="n">
        <f aca="false">D129+D128-D148-D131-D152</f>
        <v>-2.03796656096734</v>
      </c>
      <c r="E153" s="18" t="n">
        <f aca="false">E129+E128-E148-E131-E152</f>
        <v>6.89286833927734</v>
      </c>
      <c r="F153" s="18" t="n">
        <f aca="false">F129+F128-F148-F131-F152</f>
        <v>30.1183804619023</v>
      </c>
    </row>
    <row r="154" customFormat="false" ht="15" hidden="false" customHeight="false" outlineLevel="0" collapsed="false">
      <c r="A154" s="10" t="s">
        <v>543</v>
      </c>
      <c r="B154" s="47" t="n">
        <f aca="false">(Inputs!$D$120+Inputs!$D$121+Inputs!$D$122)*Inputs!$D$123+Inputs!$B$53/4+B126-B148-B132</f>
        <v>-2.849775</v>
      </c>
      <c r="C154" s="47" t="n">
        <f aca="false">C153+C126+C127</f>
        <v>-2.1692735</v>
      </c>
      <c r="D154" s="47" t="n">
        <f aca="false">D153+D126+D127</f>
        <v>4.18139493903266</v>
      </c>
      <c r="E154" s="47" t="n">
        <f aca="false">E153+E126+E127</f>
        <v>14.9391771742773</v>
      </c>
      <c r="F154" s="47" t="n">
        <f aca="false">F153+F126+F127</f>
        <v>41.0537826896524</v>
      </c>
    </row>
    <row r="155" customFormat="false" ht="15" hidden="false" customHeight="false" outlineLevel="0" collapsed="false">
      <c r="A155" s="10" t="s">
        <v>544</v>
      </c>
      <c r="B155" s="47" t="n">
        <f aca="false">Historicals!$B$87</f>
        <v>45.447</v>
      </c>
      <c r="C155" s="47" t="n">
        <f aca="false">B166</f>
        <v>42.8960954773869</v>
      </c>
      <c r="D155" s="47" t="n">
        <f aca="false">C166</f>
        <v>41.8503713131987</v>
      </c>
      <c r="E155" s="47" t="n">
        <f aca="false">D166</f>
        <v>47.2422384474442</v>
      </c>
      <c r="F155" s="47" t="n">
        <f aca="false">E166</f>
        <v>63.8315106027249</v>
      </c>
    </row>
    <row r="156" customFormat="false" ht="15" hidden="false" customHeight="false" outlineLevel="0" collapsed="false">
      <c r="A156" s="10" t="s">
        <v>545</v>
      </c>
      <c r="B156" s="47" t="n">
        <f aca="false">Historicals!$B$88</f>
        <v>9.523</v>
      </c>
      <c r="C156" s="47" t="n">
        <f aca="false">B167</f>
        <v>9.523</v>
      </c>
      <c r="D156" s="47" t="n">
        <f aca="false">C167</f>
        <v>9.523</v>
      </c>
      <c r="E156" s="47" t="n">
        <f aca="false">D167</f>
        <v>9.523</v>
      </c>
      <c r="F156" s="47" t="n">
        <f aca="false">E167</f>
        <v>9.523</v>
      </c>
    </row>
    <row r="157" customFormat="false" ht="15" hidden="false" customHeight="false" outlineLevel="0" collapsed="false">
      <c r="A157" s="10" t="s">
        <v>546</v>
      </c>
      <c r="B157" s="26" t="n">
        <v>0</v>
      </c>
      <c r="C157" s="47" t="n">
        <f aca="false">Inputs!$B$63</f>
        <v>0</v>
      </c>
      <c r="D157" s="26" t="n">
        <v>0</v>
      </c>
      <c r="E157" s="26" t="n">
        <v>0</v>
      </c>
      <c r="F157" s="26" t="n">
        <v>0</v>
      </c>
    </row>
    <row r="158" customFormat="false" ht="15" hidden="false" customHeight="false" outlineLevel="0" collapsed="false">
      <c r="A158" s="10" t="s">
        <v>547</v>
      </c>
      <c r="B158" s="47" t="n">
        <f aca="false">(B155+B154-B157+Inputs!$B$60/4*B155/2-Inputs!$B$61/4*(B156-B157/2))/(1-Inputs!$B$60/4/2)</f>
        <v>42.8960954773869</v>
      </c>
      <c r="C158" s="47" t="n">
        <f aca="false">(C155+C154-C157+Inputs!$B$60*C155/2-Inputs!$B$61*(C156-C157/2))/(1-Inputs!$B$60/2)</f>
        <v>41.8503713131987</v>
      </c>
      <c r="D158" s="47" t="n">
        <f aca="false">(D155+D154-D157+Inputs!$B$60*D155/2-Inputs!$B$61*(D156-D157/2))/(1-Inputs!$B$60/2)</f>
        <v>47.2422384474442</v>
      </c>
      <c r="E158" s="47" t="n">
        <f aca="false">(E155+E154-E157+Inputs!$B$60*E155/2-Inputs!$B$61*(E156-E157/2))/(1-Inputs!$B$60/2)</f>
        <v>63.8315106027249</v>
      </c>
      <c r="F158" s="47" t="n">
        <f aca="false">(F155+F154-F157+Inputs!$B$60*F155/2-Inputs!$B$61*(F156-F157/2))/(1-Inputs!$B$60/2)</f>
        <v>107.745452555543</v>
      </c>
    </row>
    <row r="159" customFormat="false" ht="15" hidden="false" customHeight="false" outlineLevel="0" collapsed="false">
      <c r="A159" s="10" t="s">
        <v>548</v>
      </c>
      <c r="B159" s="47" t="n">
        <f aca="false">IF(B158&gt;=Inputs!$B$67,0,(Inputs!$B$67-B155-B154+B157-Inputs!$B$60/4*(B155+Inputs!$B$67)/2+Inputs!$B$61/4*(B156-B157/2))/(1-Inputs!$B$61/4*Inputs!$B$69/(2*(1-Inputs!$B$70))))</f>
        <v>0</v>
      </c>
      <c r="C159" s="47" t="n">
        <f aca="false">IF(C158&gt;=Inputs!$B$67,0,(Inputs!$B$67-C155-C154+C157-Inputs!$B$60*(C155+Inputs!$B$67)/2+Inputs!$B$61*(C156-C157/2))/(1-Inputs!$B$61*Inputs!$B$69/(2*(1-Inputs!$B$70))))</f>
        <v>0</v>
      </c>
      <c r="D159" s="47" t="n">
        <f aca="false">IF(D158&gt;=Inputs!$B$67,0,(Inputs!$B$67-D155-D154+D157-Inputs!$B$60*(D155+Inputs!$B$67)/2+Inputs!$B$61*(D156-D157/2))/(1-Inputs!$B$61*Inputs!$B$69/(2*(1-Inputs!$B$70))))</f>
        <v>0</v>
      </c>
      <c r="E159" s="47" t="n">
        <f aca="false">IF(E158&gt;=Inputs!$B$67,0,(Inputs!$B$67-E155-E154+E157-Inputs!$B$60*(E155+Inputs!$B$67)/2+Inputs!$B$61*(E156-E157/2))/(1-Inputs!$B$61*Inputs!$B$69/(2*(1-Inputs!$B$70))))</f>
        <v>0</v>
      </c>
      <c r="F159" s="47" t="n">
        <f aca="false">IF(F158&gt;=Inputs!$B$67,0,(Inputs!$B$67-F155-F154+F157-Inputs!$B$60*(F155+Inputs!$B$67)/2+Inputs!$B$61*(F156-F157/2))/(1-Inputs!$B$61*Inputs!$B$69/(2*(1-Inputs!$B$70))))</f>
        <v>0</v>
      </c>
    </row>
    <row r="160" customFormat="false" ht="15" hidden="false" customHeight="false" outlineLevel="0" collapsed="false">
      <c r="A160" s="10" t="s">
        <v>549</v>
      </c>
      <c r="B160" s="47" t="n">
        <f aca="false">B159/(1-Inputs!$B$70)</f>
        <v>0</v>
      </c>
      <c r="C160" s="47" t="n">
        <f aca="false">C159/(1-Inputs!$B$70)</f>
        <v>0</v>
      </c>
      <c r="D160" s="47" t="n">
        <f aca="false">D159/(1-Inputs!$B$70)</f>
        <v>0</v>
      </c>
      <c r="E160" s="47" t="n">
        <f aca="false">E159/(1-Inputs!$B$70)</f>
        <v>0</v>
      </c>
      <c r="F160" s="47" t="n">
        <f aca="false">F159/(1-Inputs!$B$70)</f>
        <v>0</v>
      </c>
    </row>
    <row r="161" customFormat="false" ht="15" hidden="false" customHeight="false" outlineLevel="0" collapsed="false">
      <c r="A161" s="10" t="s">
        <v>550</v>
      </c>
      <c r="B161" s="47" t="n">
        <f aca="false">B160*Inputs!$B$69</f>
        <v>0</v>
      </c>
      <c r="C161" s="47" t="n">
        <f aca="false">C160*Inputs!$B$69</f>
        <v>0</v>
      </c>
      <c r="D161" s="47" t="n">
        <f aca="false">D160*Inputs!$B$69</f>
        <v>0</v>
      </c>
      <c r="E161" s="47" t="n">
        <f aca="false">E160*Inputs!$B$69</f>
        <v>0</v>
      </c>
      <c r="F161" s="47" t="n">
        <f aca="false">F160*Inputs!$B$69</f>
        <v>0</v>
      </c>
    </row>
    <row r="162" customFormat="false" ht="15" hidden="false" customHeight="false" outlineLevel="0" collapsed="false">
      <c r="A162" s="10" t="s">
        <v>551</v>
      </c>
      <c r="B162" s="47" t="n">
        <f aca="false">B160-B161</f>
        <v>0</v>
      </c>
      <c r="C162" s="47" t="n">
        <f aca="false">C160-C161</f>
        <v>0</v>
      </c>
      <c r="D162" s="47" t="n">
        <f aca="false">D160-D161</f>
        <v>0</v>
      </c>
      <c r="E162" s="47" t="n">
        <f aca="false">E160-E161</f>
        <v>0</v>
      </c>
      <c r="F162" s="47" t="n">
        <f aca="false">F160-F161</f>
        <v>0</v>
      </c>
    </row>
    <row r="163" customFormat="false" ht="15" hidden="false" customHeight="false" outlineLevel="0" collapsed="false">
      <c r="A163" s="10" t="s">
        <v>552</v>
      </c>
      <c r="B163" s="47" t="n">
        <f aca="false">B160-B159</f>
        <v>0</v>
      </c>
      <c r="C163" s="47" t="n">
        <f aca="false">C160-C159</f>
        <v>0</v>
      </c>
      <c r="D163" s="47" t="n">
        <f aca="false">D160-D159</f>
        <v>0</v>
      </c>
      <c r="E163" s="47" t="n">
        <f aca="false">E160-E159</f>
        <v>0</v>
      </c>
      <c r="F163" s="47" t="n">
        <f aca="false">F160-F159</f>
        <v>0</v>
      </c>
    </row>
    <row r="164" customFormat="false" ht="15" hidden="false" customHeight="false" outlineLevel="0" collapsed="false">
      <c r="A164" s="10" t="s">
        <v>553</v>
      </c>
      <c r="B164" s="47" t="n">
        <f aca="false">Inputs!$B$60/4*(B155+B166)/2</f>
        <v>0.441715477386935</v>
      </c>
      <c r="C164" s="47" t="n">
        <f aca="false">Inputs!$B$60*(C155+C166)/2</f>
        <v>1.69492933581171</v>
      </c>
      <c r="D164" s="47" t="n">
        <f aca="false">Inputs!$B$60*(D155+D166)/2</f>
        <v>1.78185219521286</v>
      </c>
      <c r="E164" s="47" t="n">
        <f aca="false">Inputs!$B$60*(E155+E166)/2</f>
        <v>2.22147498100338</v>
      </c>
      <c r="F164" s="47" t="n">
        <f aca="false">Inputs!$B$60*(F155+F166)/2</f>
        <v>3.43153926316535</v>
      </c>
    </row>
    <row r="165" customFormat="false" ht="15" hidden="false" customHeight="false" outlineLevel="0" collapsed="false">
      <c r="A165" s="10" t="s">
        <v>554</v>
      </c>
      <c r="B165" s="47" t="n">
        <f aca="false">Inputs!$B$61/4*(B156-B157/2+B161/2)</f>
        <v>0.142845</v>
      </c>
      <c r="C165" s="47" t="n">
        <f aca="false">Inputs!$B$61*(C156-C157/2+C161/2)</f>
        <v>0.57138</v>
      </c>
      <c r="D165" s="47" t="n">
        <f aca="false">Inputs!$B$61*(D156-D157/2+D161/2)</f>
        <v>0.57138</v>
      </c>
      <c r="E165" s="47" t="n">
        <f aca="false">Inputs!$B$61*(E156-E157/2+E161/2)</f>
        <v>0.57138</v>
      </c>
      <c r="F165" s="47" t="n">
        <f aca="false">Inputs!$B$61*(F156-F157/2+F161/2)</f>
        <v>0.57138</v>
      </c>
    </row>
    <row r="166" customFormat="false" ht="15" hidden="false" customHeight="false" outlineLevel="0" collapsed="false">
      <c r="A166" s="13" t="s">
        <v>555</v>
      </c>
      <c r="B166" s="18" t="n">
        <f aca="false">IF(B159&gt;0,Inputs!$B$67,B158)</f>
        <v>42.8960954773869</v>
      </c>
      <c r="C166" s="18" t="n">
        <f aca="false">IF(C159&gt;0,Inputs!$B$67,C158)</f>
        <v>41.8503713131987</v>
      </c>
      <c r="D166" s="18" t="n">
        <f aca="false">IF(D159&gt;0,Inputs!$B$67,D158)</f>
        <v>47.2422384474442</v>
      </c>
      <c r="E166" s="18" t="n">
        <f aca="false">IF(E159&gt;0,Inputs!$B$67,E158)</f>
        <v>63.8315106027249</v>
      </c>
      <c r="F166" s="18" t="n">
        <f aca="false">IF(F159&gt;0,Inputs!$B$67,F158)</f>
        <v>107.745452555543</v>
      </c>
    </row>
    <row r="167" customFormat="false" ht="15" hidden="false" customHeight="false" outlineLevel="0" collapsed="false">
      <c r="A167" s="10" t="s">
        <v>556</v>
      </c>
      <c r="B167" s="47" t="n">
        <f aca="false">B156-B157+B161</f>
        <v>9.523</v>
      </c>
      <c r="C167" s="47" t="n">
        <f aca="false">C156-C157+C161</f>
        <v>9.523</v>
      </c>
      <c r="D167" s="47" t="n">
        <f aca="false">D156-D157+D161</f>
        <v>9.523</v>
      </c>
      <c r="E167" s="47" t="n">
        <f aca="false">E156-E157+E161</f>
        <v>9.523</v>
      </c>
      <c r="F167" s="47" t="n">
        <f aca="false">F156-F157+F161</f>
        <v>9.523</v>
      </c>
    </row>
    <row r="168" customFormat="false" ht="15" hidden="false" customHeight="false" outlineLevel="0" collapsed="false">
      <c r="A168" s="13" t="s">
        <v>557</v>
      </c>
      <c r="B168" s="18" t="n">
        <f aca="false">B166-B167</f>
        <v>33.3730954773869</v>
      </c>
      <c r="C168" s="18" t="n">
        <f aca="false">C166-C167</f>
        <v>32.3273713131987</v>
      </c>
      <c r="D168" s="18" t="n">
        <f aca="false">D166-D167</f>
        <v>37.7192384474442</v>
      </c>
      <c r="E168" s="18" t="n">
        <f aca="false">E166-E167</f>
        <v>54.3085106027249</v>
      </c>
      <c r="F168" s="18" t="n">
        <f aca="false">F166-F167</f>
        <v>98.2224525555426</v>
      </c>
    </row>
    <row r="169" customFormat="false" ht="15" hidden="false" customHeight="false" outlineLevel="0" collapsed="false">
      <c r="A169" s="10" t="s">
        <v>558</v>
      </c>
      <c r="B169" s="33" t="n">
        <f aca="false">ROUND(B155+B154-B157+B164-B165+B159-B166,6)</f>
        <v>0</v>
      </c>
      <c r="C169" s="33" t="n">
        <f aca="false">ROUND(C155+C154-C157+C164-C165+C159-C166,6)</f>
        <v>0</v>
      </c>
      <c r="D169" s="33" t="n">
        <f aca="false">ROUND(D155+D154-D157+D164-D165+D159-D166,6)</f>
        <v>0</v>
      </c>
      <c r="E169" s="33" t="n">
        <f aca="false">ROUND(E155+E154-E157+E164-E165+E159-E166,6)</f>
        <v>0</v>
      </c>
      <c r="F169" s="33" t="n">
        <f aca="false">ROUND(F155+F154-F157+F164-F165+F159-F166,6)</f>
        <v>0</v>
      </c>
    </row>
    <row r="170" customFormat="false" ht="15" hidden="false" customHeight="false" outlineLevel="0" collapsed="false">
      <c r="A170" s="10" t="s">
        <v>559</v>
      </c>
      <c r="B170" s="47" t="n">
        <f aca="false">B160</f>
        <v>0</v>
      </c>
      <c r="C170" s="47" t="n">
        <f aca="false">B170+C160</f>
        <v>0</v>
      </c>
      <c r="D170" s="47" t="n">
        <f aca="false">C170+D160</f>
        <v>0</v>
      </c>
      <c r="E170" s="47" t="n">
        <f aca="false">D170+E160</f>
        <v>0</v>
      </c>
      <c r="F170" s="47" t="n">
        <f aca="false">E170+F160</f>
        <v>0</v>
      </c>
    </row>
    <row r="171" customFormat="false" ht="15" hidden="false" customHeight="false" outlineLevel="0" collapsed="false">
      <c r="A171" s="10" t="s">
        <v>560</v>
      </c>
      <c r="B171" s="49" t="str">
        <f aca="false">IF(B170&gt;Inputs!$B$73,"UNFUNDED: above limit",IF(B160&gt;0,"Raising","OK"))</f>
        <v>OK</v>
      </c>
      <c r="C171" s="49" t="str">
        <f aca="false">IF(C170&gt;Inputs!$B$73,"UNFUNDED: above limit",IF(C160&gt;0,"Raising","OK"))</f>
        <v>OK</v>
      </c>
      <c r="D171" s="49" t="str">
        <f aca="false">IF(D170&gt;Inputs!$B$73,"UNFUNDED: above limit",IF(D160&gt;0,"Raising","OK"))</f>
        <v>OK</v>
      </c>
      <c r="E171" s="49" t="str">
        <f aca="false">IF(E170&gt;Inputs!$B$73,"UNFUNDED: above limit",IF(E160&gt;0,"Raising","OK"))</f>
        <v>OK</v>
      </c>
      <c r="F171" s="49" t="str">
        <f aca="false">IF(F170&gt;Inputs!$B$73,"UNFUNDED: above limit",IF(F160&gt;0,"Raising","OK"))</f>
        <v>OK</v>
      </c>
    </row>
    <row r="172" customFormat="false" ht="15" hidden="false" customHeight="false" outlineLevel="0" collapsed="false">
      <c r="A172" s="10" t="s">
        <v>561</v>
      </c>
      <c r="B172" s="47" t="n">
        <f aca="false">$F$129</f>
        <v>63.938993689388</v>
      </c>
    </row>
    <row r="173" customFormat="false" ht="15" hidden="false" customHeight="false" outlineLevel="0" collapsed="false">
      <c r="A173" s="10" t="s">
        <v>562</v>
      </c>
      <c r="B173" s="19" t="n">
        <f aca="false">IF(Inputs!$B$8=1,Inputs!$B$79,IFERROR($F$148/$F$129,0))</f>
        <v>0.2416</v>
      </c>
    </row>
    <row r="174" customFormat="false" ht="15" hidden="false" customHeight="false" outlineLevel="0" collapsed="false">
      <c r="A174" s="10" t="s">
        <v>563</v>
      </c>
      <c r="B174" s="47" t="n">
        <f aca="false">$B$172*(1-$B$173)</f>
        <v>48.4913328140319</v>
      </c>
    </row>
    <row r="175" customFormat="false" ht="15" hidden="false" customHeight="false" outlineLevel="0" collapsed="false">
      <c r="A175" s="10" t="s">
        <v>564</v>
      </c>
      <c r="B175" s="50" t="n">
        <f aca="false">Inputs!$D$152</f>
        <v>60</v>
      </c>
    </row>
    <row r="176" customFormat="false" ht="15" hidden="false" customHeight="false" outlineLevel="0" collapsed="false">
      <c r="A176" s="10" t="s">
        <v>565</v>
      </c>
      <c r="B176" s="47" t="n">
        <f aca="false">$B$174*$B$175*$F$527</f>
        <v>1916.5645741306</v>
      </c>
    </row>
    <row r="177" customFormat="false" ht="15" hidden="false" customHeight="false" outlineLevel="0" collapsed="false">
      <c r="A177" s="10" t="s">
        <v>566</v>
      </c>
      <c r="B177" s="47" t="n">
        <f aca="false">SUMPRODUCT($C$153:$F$153,$C$527:$F$527)</f>
        <v>16.6769634011349</v>
      </c>
    </row>
    <row r="178" customFormat="false" ht="15" hidden="false" customHeight="false" outlineLevel="0" collapsed="false">
      <c r="A178" s="10" t="s">
        <v>567</v>
      </c>
      <c r="B178" s="18" t="n">
        <f aca="false">$B$176+$B$177</f>
        <v>1933.24153753173</v>
      </c>
    </row>
    <row r="179" customFormat="false" ht="15" hidden="false" customHeight="false" outlineLevel="0" collapsed="false">
      <c r="A179" s="10" t="s">
        <v>568</v>
      </c>
      <c r="B179" s="47" t="n">
        <f aca="false">$B$174+$F$128-$F$131-$F$152</f>
        <v>27.0035049321439</v>
      </c>
    </row>
    <row r="180" customFormat="false" ht="15" hidden="false" customHeight="false" outlineLevel="0" collapsed="false">
      <c r="A180" s="10" t="s">
        <v>569</v>
      </c>
      <c r="B180" s="50" t="n">
        <f aca="false">Inputs!$D$153</f>
        <v>48</v>
      </c>
    </row>
    <row r="181" customFormat="false" ht="15" hidden="false" customHeight="false" outlineLevel="0" collapsed="false">
      <c r="A181" s="10" t="s">
        <v>570</v>
      </c>
      <c r="B181" s="47" t="n">
        <f aca="false">$B$179*$B$180*$F$527</f>
        <v>853.826165245461</v>
      </c>
    </row>
    <row r="182" customFormat="false" ht="15" hidden="false" customHeight="false" outlineLevel="0" collapsed="false">
      <c r="A182" s="10" t="s">
        <v>571</v>
      </c>
      <c r="B182" s="18" t="n">
        <f aca="false">$B$177+$B$181</f>
        <v>870.503128646596</v>
      </c>
    </row>
    <row r="183" customFormat="false" ht="15" hidden="false" customHeight="false" outlineLevel="0" collapsed="false">
      <c r="A183" s="13" t="s">
        <v>572</v>
      </c>
      <c r="B183" s="18" t="n">
        <f aca="false">$B$178*Inputs!$B$7+$B$182*(1-Inputs!$B$7)</f>
        <v>1401.87233308916</v>
      </c>
    </row>
    <row r="184" customFormat="false" ht="15" hidden="false" customHeight="false" outlineLevel="0" collapsed="false">
      <c r="A184" s="10" t="s">
        <v>573</v>
      </c>
      <c r="B184" s="47" t="n">
        <f aca="false">MAX(0,$F$134)</f>
        <v>51.0462969602552</v>
      </c>
      <c r="H184" s="51" t="n">
        <v>1</v>
      </c>
      <c r="I184" s="51" t="n">
        <v>2</v>
      </c>
      <c r="J184" s="51" t="n">
        <v>3</v>
      </c>
      <c r="K184" s="51" t="n">
        <v>4</v>
      </c>
      <c r="L184" s="51" t="n">
        <v>5</v>
      </c>
      <c r="M184" s="51" t="n">
        <v>6</v>
      </c>
      <c r="N184" s="51" t="n">
        <v>7</v>
      </c>
      <c r="O184" s="51" t="n">
        <v>8</v>
      </c>
      <c r="P184" s="51" t="n">
        <v>9</v>
      </c>
      <c r="Q184" s="51" t="n">
        <v>10</v>
      </c>
      <c r="R184" s="51" t="n">
        <v>11</v>
      </c>
      <c r="S184" s="51" t="n">
        <v>12</v>
      </c>
      <c r="T184" s="51" t="n">
        <v>13</v>
      </c>
      <c r="U184" s="51" t="n">
        <v>14</v>
      </c>
      <c r="V184" s="51" t="n">
        <v>15</v>
      </c>
      <c r="W184" s="51" t="n">
        <v>16</v>
      </c>
      <c r="X184" s="51" t="n">
        <v>17</v>
      </c>
      <c r="Y184" s="51" t="n">
        <v>18</v>
      </c>
      <c r="Z184" s="51" t="n">
        <v>19</v>
      </c>
      <c r="AA184" s="51" t="n">
        <v>20</v>
      </c>
      <c r="AB184" s="51" t="n">
        <v>21</v>
      </c>
      <c r="AC184" s="51" t="n">
        <v>22</v>
      </c>
      <c r="AD184" s="51" t="n">
        <v>23</v>
      </c>
      <c r="AE184" s="51" t="n">
        <v>24</v>
      </c>
      <c r="AF184" s="51" t="n">
        <v>25</v>
      </c>
      <c r="AG184" s="51" t="n">
        <v>26</v>
      </c>
      <c r="AH184" s="51" t="n">
        <v>27</v>
      </c>
      <c r="AI184" s="51" t="n">
        <v>28</v>
      </c>
      <c r="AJ184" s="51" t="n">
        <v>29</v>
      </c>
      <c r="AK184" s="51" t="n">
        <v>30</v>
      </c>
    </row>
    <row r="185" customFormat="false" ht="15" hidden="false" customHeight="false" outlineLevel="0" collapsed="false">
      <c r="A185" s="10" t="s">
        <v>574</v>
      </c>
      <c r="H185" s="25" t="n">
        <f aca="false">1/(1+Inputs!$B$6)^1</f>
        <v>0.900900900900901</v>
      </c>
      <c r="I185" s="25" t="n">
        <f aca="false">1/(1+Inputs!$B$6)^2</f>
        <v>0.811622433244055</v>
      </c>
      <c r="J185" s="25" t="n">
        <f aca="false">1/(1+Inputs!$B$6)^3</f>
        <v>0.73119138130095</v>
      </c>
      <c r="K185" s="25" t="n">
        <f aca="false">1/(1+Inputs!$B$6)^4</f>
        <v>0.658730974145</v>
      </c>
      <c r="L185" s="25" t="n">
        <f aca="false">1/(1+Inputs!$B$6)^5</f>
        <v>0.593451328058559</v>
      </c>
      <c r="M185" s="25" t="n">
        <f aca="false">1/(1+Inputs!$B$6)^6</f>
        <v>0.534640836088791</v>
      </c>
      <c r="N185" s="25" t="n">
        <f aca="false">1/(1+Inputs!$B$6)^7</f>
        <v>0.481658410890803</v>
      </c>
      <c r="O185" s="25" t="n">
        <f aca="false">1/(1+Inputs!$B$6)^8</f>
        <v>0.433926496298021</v>
      </c>
      <c r="P185" s="25" t="n">
        <f aca="false">1/(1+Inputs!$B$6)^9</f>
        <v>0.390924771439658</v>
      </c>
      <c r="Q185" s="25" t="n">
        <f aca="false">1/(1+Inputs!$B$6)^10</f>
        <v>0.352184478774467</v>
      </c>
      <c r="R185" s="25" t="n">
        <f aca="false">1/(1+Inputs!$B$6)^11</f>
        <v>0.317283314211231</v>
      </c>
      <c r="S185" s="25" t="n">
        <f aca="false">1/(1+Inputs!$B$6)^12</f>
        <v>0.285840823613722</v>
      </c>
      <c r="T185" s="25" t="n">
        <f aca="false">1/(1+Inputs!$B$6)^13</f>
        <v>0.257514255507858</v>
      </c>
      <c r="U185" s="25" t="n">
        <f aca="false">1/(1+Inputs!$B$6)^14</f>
        <v>0.231994824781854</v>
      </c>
      <c r="V185" s="25" t="n">
        <f aca="false">1/(1+Inputs!$B$6)^15</f>
        <v>0.209004346650319</v>
      </c>
      <c r="W185" s="25" t="n">
        <f aca="false">1/(1+Inputs!$B$6)^16</f>
        <v>0.188292204189476</v>
      </c>
      <c r="X185" s="25" t="n">
        <f aca="false">1/(1+Inputs!$B$6)^17</f>
        <v>0.169632616386915</v>
      </c>
      <c r="Y185" s="25" t="n">
        <f aca="false">1/(1+Inputs!$B$6)^18</f>
        <v>0.152822176925149</v>
      </c>
      <c r="Z185" s="25" t="n">
        <f aca="false">1/(1+Inputs!$B$6)^19</f>
        <v>0.137677636869504</v>
      </c>
      <c r="AA185" s="25" t="n">
        <f aca="false">1/(1+Inputs!$B$6)^20</f>
        <v>0.124033907089643</v>
      </c>
      <c r="AB185" s="25" t="n">
        <f aca="false">1/(1+Inputs!$B$6)^21</f>
        <v>0.111742258639318</v>
      </c>
      <c r="AC185" s="25" t="n">
        <f aca="false">1/(1+Inputs!$B$6)^22</f>
        <v>0.100668701476863</v>
      </c>
      <c r="AD185" s="25" t="n">
        <f aca="false">1/(1+Inputs!$B$6)^23</f>
        <v>0.0906925238530297</v>
      </c>
      <c r="AE185" s="25" t="n">
        <f aca="false">1/(1+Inputs!$B$6)^24</f>
        <v>0.0817049764441709</v>
      </c>
      <c r="AF185" s="25" t="n">
        <f aca="false">1/(1+Inputs!$B$6)^25</f>
        <v>0.0736080868866405</v>
      </c>
      <c r="AG185" s="25" t="n">
        <f aca="false">1/(1+Inputs!$B$6)^26</f>
        <v>0.0663135917897662</v>
      </c>
      <c r="AH185" s="25" t="n">
        <f aca="false">1/(1+Inputs!$B$6)^27</f>
        <v>0.0597419745853749</v>
      </c>
      <c r="AI185" s="25" t="n">
        <f aca="false">1/(1+Inputs!$B$6)^28</f>
        <v>0.053821598725563</v>
      </c>
      <c r="AJ185" s="25" t="n">
        <f aca="false">1/(1+Inputs!$B$6)^29</f>
        <v>0.0484879267797865</v>
      </c>
      <c r="AK185" s="25" t="n">
        <f aca="false">1/(1+Inputs!$B$6)^30</f>
        <v>0.0436828169187266</v>
      </c>
    </row>
    <row r="186" customFormat="false" ht="15" hidden="false" customHeight="false" outlineLevel="0" collapsed="false">
      <c r="A186" s="10" t="s">
        <v>575</v>
      </c>
      <c r="G186" s="47" t="n">
        <f aca="false">$F$137</f>
        <v>0</v>
      </c>
      <c r="H186" s="47" t="n">
        <f aca="false">G186</f>
        <v>0</v>
      </c>
      <c r="I186" s="47" t="n">
        <f aca="false">H186-H187</f>
        <v>0</v>
      </c>
      <c r="J186" s="47" t="n">
        <f aca="false">I186-I187</f>
        <v>0</v>
      </c>
      <c r="K186" s="47" t="n">
        <f aca="false">J186-J187</f>
        <v>0</v>
      </c>
      <c r="L186" s="47" t="n">
        <f aca="false">K186-K187</f>
        <v>0</v>
      </c>
      <c r="M186" s="47" t="n">
        <f aca="false">L186-L187</f>
        <v>0</v>
      </c>
      <c r="N186" s="47" t="n">
        <f aca="false">M186-M187</f>
        <v>0</v>
      </c>
      <c r="O186" s="47" t="n">
        <f aca="false">N186-N187</f>
        <v>0</v>
      </c>
      <c r="P186" s="47" t="n">
        <f aca="false">O186-O187</f>
        <v>0</v>
      </c>
      <c r="Q186" s="47" t="n">
        <f aca="false">P186-P187</f>
        <v>0</v>
      </c>
      <c r="R186" s="47" t="n">
        <f aca="false">Q186-Q187</f>
        <v>0</v>
      </c>
      <c r="S186" s="47" t="n">
        <f aca="false">R186-R187</f>
        <v>0</v>
      </c>
      <c r="T186" s="47" t="n">
        <f aca="false">S186-S187</f>
        <v>0</v>
      </c>
      <c r="U186" s="47" t="n">
        <f aca="false">T186-T187</f>
        <v>0</v>
      </c>
      <c r="V186" s="47" t="n">
        <f aca="false">U186-U187</f>
        <v>0</v>
      </c>
      <c r="W186" s="47" t="n">
        <f aca="false">V186-V187</f>
        <v>0</v>
      </c>
      <c r="X186" s="47" t="n">
        <f aca="false">W186-W187</f>
        <v>0</v>
      </c>
      <c r="Y186" s="47" t="n">
        <f aca="false">X186-X187</f>
        <v>0</v>
      </c>
      <c r="Z186" s="47" t="n">
        <f aca="false">Y186-Y187</f>
        <v>0</v>
      </c>
      <c r="AA186" s="47" t="n">
        <f aca="false">Z186-Z187</f>
        <v>0</v>
      </c>
      <c r="AB186" s="47" t="n">
        <f aca="false">AA186-AA187</f>
        <v>0</v>
      </c>
      <c r="AC186" s="47" t="n">
        <f aca="false">AB186-AB187</f>
        <v>0</v>
      </c>
      <c r="AD186" s="47" t="n">
        <f aca="false">AC186-AC187</f>
        <v>0</v>
      </c>
      <c r="AE186" s="47" t="n">
        <f aca="false">AD186-AD187</f>
        <v>0</v>
      </c>
      <c r="AF186" s="47" t="n">
        <f aca="false">AE186-AE187</f>
        <v>0</v>
      </c>
      <c r="AG186" s="47" t="n">
        <f aca="false">AF186-AF187</f>
        <v>0</v>
      </c>
      <c r="AH186" s="47" t="n">
        <f aca="false">AG186-AG187</f>
        <v>0</v>
      </c>
      <c r="AI186" s="47" t="n">
        <f aca="false">AH186-AH187</f>
        <v>0</v>
      </c>
      <c r="AJ186" s="47" t="n">
        <f aca="false">AI186-AI187</f>
        <v>0</v>
      </c>
      <c r="AK186" s="47" t="n">
        <f aca="false">AJ186-AJ187</f>
        <v>0</v>
      </c>
    </row>
    <row r="187" customFormat="false" ht="15" hidden="false" customHeight="false" outlineLevel="0" collapsed="false">
      <c r="A187" s="10" t="s">
        <v>576</v>
      </c>
      <c r="H187" s="47" t="n">
        <f aca="false">IF(1&lt;=Inputs!$B$44,MIN(H186,$B$184,1E+099),0)</f>
        <v>0</v>
      </c>
      <c r="I187" s="47" t="n">
        <f aca="false">IF(2&lt;=Inputs!$B$44,MIN(I186,$B$184,1E+099),0)</f>
        <v>0</v>
      </c>
      <c r="J187" s="47" t="n">
        <f aca="false">IF(3&lt;=Inputs!$B$44,MIN(J186,$B$184,1E+099),0)</f>
        <v>0</v>
      </c>
      <c r="K187" s="47" t="n">
        <f aca="false">IF(4&lt;=Inputs!$B$44,MIN(K186,$B$184,1E+099),0)</f>
        <v>0</v>
      </c>
      <c r="L187" s="47" t="n">
        <f aca="false">IF(5&lt;=Inputs!$B$44,MIN(L186,$B$184,1E+099),0)</f>
        <v>0</v>
      </c>
      <c r="M187" s="47" t="n">
        <f aca="false">IF(6&lt;=Inputs!$B$44,MIN(M186,$B$184,1E+099),0)</f>
        <v>0</v>
      </c>
      <c r="N187" s="47" t="n">
        <f aca="false">IF(7&lt;=Inputs!$B$44,MIN(N186,$B$184,1E+099),0)</f>
        <v>0</v>
      </c>
      <c r="O187" s="47" t="n">
        <f aca="false">IF(8&lt;=Inputs!$B$44,MIN(O186,$B$184,1E+099),0)</f>
        <v>0</v>
      </c>
      <c r="P187" s="47" t="n">
        <f aca="false">IF(9&lt;=Inputs!$B$44,MIN(P186,$B$184,1E+099),0)</f>
        <v>0</v>
      </c>
      <c r="Q187" s="47" t="n">
        <f aca="false">IF(10&lt;=Inputs!$B$44,MIN(Q186,$B$184,1E+099),0)</f>
        <v>0</v>
      </c>
      <c r="R187" s="47" t="n">
        <f aca="false">IF(11&lt;=Inputs!$B$44,MIN(R186,$B$184,1E+099),0)</f>
        <v>0</v>
      </c>
      <c r="S187" s="47" t="n">
        <f aca="false">IF(12&lt;=Inputs!$B$44,MIN(S186,$B$184,1E+099),0)</f>
        <v>0</v>
      </c>
      <c r="T187" s="47" t="n">
        <f aca="false">IF(13&lt;=Inputs!$B$44,MIN(T186,$B$184,1E+099),0)</f>
        <v>0</v>
      </c>
      <c r="U187" s="47" t="n">
        <f aca="false">IF(14&lt;=Inputs!$B$44,MIN(U186,$B$184,1E+099),0)</f>
        <v>0</v>
      </c>
      <c r="V187" s="47" t="n">
        <f aca="false">IF(15&lt;=Inputs!$B$44,MIN(V186,$B$184,1E+099),0)</f>
        <v>0</v>
      </c>
      <c r="W187" s="47" t="n">
        <f aca="false">IF(16&lt;=Inputs!$B$44,MIN(W186,$B$184,1E+099),0)</f>
        <v>0</v>
      </c>
      <c r="X187" s="47" t="n">
        <f aca="false">IF(17&lt;=Inputs!$B$44,MIN(X186,$B$184,1E+099),0)</f>
        <v>0</v>
      </c>
      <c r="Y187" s="47" t="n">
        <f aca="false">IF(18&lt;=Inputs!$B$44,MIN(Y186,$B$184,1E+099),0)</f>
        <v>0</v>
      </c>
      <c r="Z187" s="47" t="n">
        <f aca="false">IF(19&lt;=Inputs!$B$44,MIN(Z186,$B$184,1E+099),0)</f>
        <v>0</v>
      </c>
      <c r="AA187" s="47" t="n">
        <f aca="false">IF(20&lt;=Inputs!$B$44,MIN(AA186,$B$184,1E+099),0)</f>
        <v>0</v>
      </c>
      <c r="AB187" s="47" t="n">
        <f aca="false">IF(21&lt;=Inputs!$B$44,MIN(AB186,$B$184,1E+099),0)</f>
        <v>0</v>
      </c>
      <c r="AC187" s="47" t="n">
        <f aca="false">IF(22&lt;=Inputs!$B$44,MIN(AC186,$B$184,1E+099),0)</f>
        <v>0</v>
      </c>
      <c r="AD187" s="47" t="n">
        <f aca="false">IF(23&lt;=Inputs!$B$44,MIN(AD186,$B$184,1E+099),0)</f>
        <v>0</v>
      </c>
      <c r="AE187" s="47" t="n">
        <f aca="false">IF(24&lt;=Inputs!$B$44,MIN(AE186,$B$184,1E+099),0)</f>
        <v>0</v>
      </c>
      <c r="AF187" s="47" t="n">
        <f aca="false">IF(25&lt;=Inputs!$B$44,MIN(AF186,$B$184,1E+099),0)</f>
        <v>0</v>
      </c>
      <c r="AG187" s="47" t="n">
        <f aca="false">IF(26&lt;=Inputs!$B$44,MIN(AG186,$B$184,1E+099),0)</f>
        <v>0</v>
      </c>
      <c r="AH187" s="47" t="n">
        <f aca="false">IF(27&lt;=Inputs!$B$44,MIN(AH186,$B$184,1E+099),0)</f>
        <v>0</v>
      </c>
      <c r="AI187" s="47" t="n">
        <f aca="false">IF(28&lt;=Inputs!$B$44,MIN(AI186,$B$184,1E+099),0)</f>
        <v>0</v>
      </c>
      <c r="AJ187" s="47" t="n">
        <f aca="false">IF(29&lt;=Inputs!$B$44,MIN(AJ186,$B$184,1E+099),0)</f>
        <v>0</v>
      </c>
      <c r="AK187" s="47" t="n">
        <f aca="false">IF(30&lt;=Inputs!$B$44,MIN(AK186,$B$184,1E+099),0)</f>
        <v>0</v>
      </c>
    </row>
    <row r="188" customFormat="false" ht="15" hidden="false" customHeight="false" outlineLevel="0" collapsed="false">
      <c r="A188" s="10" t="s">
        <v>577</v>
      </c>
      <c r="G188" s="47" t="n">
        <f aca="false">$F$138</f>
        <v>0</v>
      </c>
      <c r="H188" s="47" t="n">
        <f aca="false">G188</f>
        <v>0</v>
      </c>
      <c r="I188" s="47" t="n">
        <f aca="false">H188-H189</f>
        <v>0</v>
      </c>
      <c r="J188" s="47" t="n">
        <f aca="false">I188-I189</f>
        <v>0</v>
      </c>
      <c r="K188" s="47" t="n">
        <f aca="false">J188-J189</f>
        <v>0</v>
      </c>
      <c r="L188" s="47" t="n">
        <f aca="false">K188-K189</f>
        <v>0</v>
      </c>
      <c r="M188" s="47" t="n">
        <f aca="false">L188-L189</f>
        <v>0</v>
      </c>
      <c r="N188" s="47" t="n">
        <f aca="false">M188-M189</f>
        <v>0</v>
      </c>
      <c r="O188" s="47" t="n">
        <f aca="false">N188-N189</f>
        <v>0</v>
      </c>
      <c r="P188" s="47" t="n">
        <f aca="false">O188-O189</f>
        <v>0</v>
      </c>
      <c r="Q188" s="47" t="n">
        <f aca="false">P188-P189</f>
        <v>0</v>
      </c>
      <c r="R188" s="47" t="n">
        <f aca="false">Q188-Q189</f>
        <v>0</v>
      </c>
      <c r="S188" s="47" t="n">
        <f aca="false">R188-R189</f>
        <v>0</v>
      </c>
      <c r="T188" s="47" t="n">
        <f aca="false">S188-S189</f>
        <v>0</v>
      </c>
      <c r="U188" s="47" t="n">
        <f aca="false">T188-T189</f>
        <v>0</v>
      </c>
      <c r="V188" s="47" t="n">
        <f aca="false">U188-U189</f>
        <v>0</v>
      </c>
      <c r="W188" s="47" t="n">
        <f aca="false">V188-V189</f>
        <v>0</v>
      </c>
      <c r="X188" s="47" t="n">
        <f aca="false">W188-W189</f>
        <v>0</v>
      </c>
      <c r="Y188" s="47" t="n">
        <f aca="false">X188-X189</f>
        <v>0</v>
      </c>
      <c r="Z188" s="47" t="n">
        <f aca="false">Y188-Y189</f>
        <v>0</v>
      </c>
      <c r="AA188" s="47" t="n">
        <f aca="false">Z188-Z189</f>
        <v>0</v>
      </c>
      <c r="AB188" s="47" t="n">
        <f aca="false">AA188-AA189</f>
        <v>0</v>
      </c>
      <c r="AC188" s="47" t="n">
        <f aca="false">AB188-AB189</f>
        <v>0</v>
      </c>
      <c r="AD188" s="47" t="n">
        <f aca="false">AC188-AC189</f>
        <v>0</v>
      </c>
      <c r="AE188" s="47" t="n">
        <f aca="false">AD188-AD189</f>
        <v>0</v>
      </c>
      <c r="AF188" s="47" t="n">
        <f aca="false">AE188-AE189</f>
        <v>0</v>
      </c>
      <c r="AG188" s="47" t="n">
        <f aca="false">AF188-AF189</f>
        <v>0</v>
      </c>
      <c r="AH188" s="47" t="n">
        <f aca="false">AG188-AG189</f>
        <v>0</v>
      </c>
      <c r="AI188" s="47" t="n">
        <f aca="false">AH188-AH189</f>
        <v>0</v>
      </c>
      <c r="AJ188" s="47" t="n">
        <f aca="false">AI188-AI189</f>
        <v>0</v>
      </c>
      <c r="AK188" s="47" t="n">
        <f aca="false">AJ188-AJ189</f>
        <v>0</v>
      </c>
    </row>
    <row r="189" customFormat="false" ht="15" hidden="false" customHeight="false" outlineLevel="0" collapsed="false">
      <c r="A189" s="10" t="s">
        <v>576</v>
      </c>
      <c r="H189" s="47" t="n">
        <f aca="false">IF(1&lt;=Inputs!$B$44,MIN(H188,$B$184-H187),0)</f>
        <v>0</v>
      </c>
      <c r="I189" s="47" t="n">
        <f aca="false">IF(2&lt;=Inputs!$B$44,MIN(I188,$B$184-I187),0)</f>
        <v>0</v>
      </c>
      <c r="J189" s="47" t="n">
        <f aca="false">IF(3&lt;=Inputs!$B$44,MIN(J188,$B$184-J187),0)</f>
        <v>0</v>
      </c>
      <c r="K189" s="47" t="n">
        <f aca="false">IF(4&lt;=Inputs!$B$44,MIN(K188,$B$184-K187),0)</f>
        <v>0</v>
      </c>
      <c r="L189" s="47" t="n">
        <f aca="false">IF(5&lt;=Inputs!$B$44,MIN(L188,$B$184-L187),0)</f>
        <v>0</v>
      </c>
      <c r="M189" s="47" t="n">
        <f aca="false">IF(6&lt;=Inputs!$B$44,MIN(M188,$B$184-M187),0)</f>
        <v>0</v>
      </c>
      <c r="N189" s="47" t="n">
        <f aca="false">IF(7&lt;=Inputs!$B$44,MIN(N188,$B$184-N187),0)</f>
        <v>0</v>
      </c>
      <c r="O189" s="47" t="n">
        <f aca="false">IF(8&lt;=Inputs!$B$44,MIN(O188,$B$184-O187),0)</f>
        <v>0</v>
      </c>
      <c r="P189" s="47" t="n">
        <f aca="false">IF(9&lt;=Inputs!$B$44,MIN(P188,$B$184-P187),0)</f>
        <v>0</v>
      </c>
      <c r="Q189" s="47" t="n">
        <f aca="false">IF(10&lt;=Inputs!$B$44,MIN(Q188,$B$184-Q187),0)</f>
        <v>0</v>
      </c>
      <c r="R189" s="47" t="n">
        <f aca="false">IF(11&lt;=Inputs!$B$44,MIN(R188,$B$184-R187),0)</f>
        <v>0</v>
      </c>
      <c r="S189" s="47" t="n">
        <f aca="false">IF(12&lt;=Inputs!$B$44,MIN(S188,$B$184-S187),0)</f>
        <v>0</v>
      </c>
      <c r="T189" s="47" t="n">
        <f aca="false">IF(13&lt;=Inputs!$B$44,MIN(T188,$B$184-T187),0)</f>
        <v>0</v>
      </c>
      <c r="U189" s="47" t="n">
        <f aca="false">IF(14&lt;=Inputs!$B$44,MIN(U188,$B$184-U187),0)</f>
        <v>0</v>
      </c>
      <c r="V189" s="47" t="n">
        <f aca="false">IF(15&lt;=Inputs!$B$44,MIN(V188,$B$184-V187),0)</f>
        <v>0</v>
      </c>
      <c r="W189" s="47" t="n">
        <f aca="false">IF(16&lt;=Inputs!$B$44,MIN(W188,$B$184-W187),0)</f>
        <v>0</v>
      </c>
      <c r="X189" s="47" t="n">
        <f aca="false">IF(17&lt;=Inputs!$B$44,MIN(X188,$B$184-X187),0)</f>
        <v>0</v>
      </c>
      <c r="Y189" s="47" t="n">
        <f aca="false">IF(18&lt;=Inputs!$B$44,MIN(Y188,$B$184-Y187),0)</f>
        <v>0</v>
      </c>
      <c r="Z189" s="47" t="n">
        <f aca="false">IF(19&lt;=Inputs!$B$44,MIN(Z188,$B$184-Z187),0)</f>
        <v>0</v>
      </c>
      <c r="AA189" s="47" t="n">
        <f aca="false">IF(20&lt;=Inputs!$B$44,MIN(AA188,$B$184-AA187),0)</f>
        <v>0</v>
      </c>
      <c r="AB189" s="47" t="n">
        <f aca="false">IF(21&lt;=Inputs!$B$44,MIN(AB188,$B$184-AB187),0)</f>
        <v>0</v>
      </c>
      <c r="AC189" s="47" t="n">
        <f aca="false">IF(22&lt;=Inputs!$B$44,MIN(AC188,$B$184-AC187),0)</f>
        <v>0</v>
      </c>
      <c r="AD189" s="47" t="n">
        <f aca="false">IF(23&lt;=Inputs!$B$44,MIN(AD188,$B$184-AD187),0)</f>
        <v>0</v>
      </c>
      <c r="AE189" s="47" t="n">
        <f aca="false">IF(24&lt;=Inputs!$B$44,MIN(AE188,$B$184-AE187),0)</f>
        <v>0</v>
      </c>
      <c r="AF189" s="47" t="n">
        <f aca="false">IF(25&lt;=Inputs!$B$44,MIN(AF188,$B$184-AF187),0)</f>
        <v>0</v>
      </c>
      <c r="AG189" s="47" t="n">
        <f aca="false">IF(26&lt;=Inputs!$B$44,MIN(AG188,$B$184-AG187),0)</f>
        <v>0</v>
      </c>
      <c r="AH189" s="47" t="n">
        <f aca="false">IF(27&lt;=Inputs!$B$44,MIN(AH188,$B$184-AH187),0)</f>
        <v>0</v>
      </c>
      <c r="AI189" s="47" t="n">
        <f aca="false">IF(28&lt;=Inputs!$B$44,MIN(AI188,$B$184-AI187),0)</f>
        <v>0</v>
      </c>
      <c r="AJ189" s="47" t="n">
        <f aca="false">IF(29&lt;=Inputs!$B$44,MIN(AJ188,$B$184-AJ187),0)</f>
        <v>0</v>
      </c>
      <c r="AK189" s="47" t="n">
        <f aca="false">IF(30&lt;=Inputs!$B$44,MIN(AK188,$B$184-AK187),0)</f>
        <v>0</v>
      </c>
    </row>
    <row r="190" customFormat="false" ht="15" hidden="false" customHeight="false" outlineLevel="0" collapsed="false">
      <c r="A190" s="10" t="s">
        <v>578</v>
      </c>
      <c r="H190" s="47" t="n">
        <f aca="false">($B$184-H187-H189)*Inputs!$B$34</f>
        <v>2.04185187841021</v>
      </c>
      <c r="I190" s="47" t="n">
        <f aca="false">($B$184-I187-I189)*Inputs!$B$34</f>
        <v>2.04185187841021</v>
      </c>
      <c r="J190" s="47" t="n">
        <f aca="false">($B$184-J187-J189)*Inputs!$B$34</f>
        <v>2.04185187841021</v>
      </c>
      <c r="K190" s="47" t="n">
        <f aca="false">($B$184-K187-K189)*Inputs!$B$34</f>
        <v>2.04185187841021</v>
      </c>
      <c r="L190" s="47" t="n">
        <f aca="false">($B$184-L187-L189)*Inputs!$B$34</f>
        <v>2.04185187841021</v>
      </c>
      <c r="M190" s="47" t="n">
        <f aca="false">($B$184-M187-M189)*Inputs!$B$34</f>
        <v>2.04185187841021</v>
      </c>
      <c r="N190" s="47" t="n">
        <f aca="false">($B$184-N187-N189)*Inputs!$B$34</f>
        <v>2.04185187841021</v>
      </c>
      <c r="O190" s="47" t="n">
        <f aca="false">($B$184-O187-O189)*Inputs!$B$34</f>
        <v>2.04185187841021</v>
      </c>
      <c r="P190" s="47" t="n">
        <f aca="false">($B$184-P187-P189)*Inputs!$B$34</f>
        <v>2.04185187841021</v>
      </c>
      <c r="Q190" s="47" t="n">
        <f aca="false">($B$184-Q187-Q189)*Inputs!$B$34</f>
        <v>2.04185187841021</v>
      </c>
      <c r="R190" s="47" t="n">
        <f aca="false">($B$184-R187-R189)*Inputs!$B$34</f>
        <v>2.04185187841021</v>
      </c>
      <c r="S190" s="47" t="n">
        <f aca="false">($B$184-S187-S189)*Inputs!$B$34</f>
        <v>2.04185187841021</v>
      </c>
      <c r="T190" s="47" t="n">
        <f aca="false">($B$184-T187-T189)*Inputs!$B$34</f>
        <v>2.04185187841021</v>
      </c>
      <c r="U190" s="47" t="n">
        <f aca="false">($B$184-U187-U189)*Inputs!$B$34</f>
        <v>2.04185187841021</v>
      </c>
      <c r="V190" s="47" t="n">
        <f aca="false">($B$184-V187-V189)*Inputs!$B$34</f>
        <v>2.04185187841021</v>
      </c>
      <c r="W190" s="47" t="n">
        <f aca="false">($B$184-W187-W189)*Inputs!$B$34</f>
        <v>2.04185187841021</v>
      </c>
      <c r="X190" s="47" t="n">
        <f aca="false">($B$184-X187-X189)*Inputs!$B$34</f>
        <v>2.04185187841021</v>
      </c>
      <c r="Y190" s="47" t="n">
        <f aca="false">($B$184-Y187-Y189)*Inputs!$B$34</f>
        <v>2.04185187841021</v>
      </c>
      <c r="Z190" s="47" t="n">
        <f aca="false">($B$184-Z187-Z189)*Inputs!$B$34</f>
        <v>2.04185187841021</v>
      </c>
      <c r="AA190" s="47" t="n">
        <f aca="false">($B$184-AA187-AA189)*Inputs!$B$34</f>
        <v>2.04185187841021</v>
      </c>
      <c r="AB190" s="47" t="n">
        <f aca="false">($B$184-AB187-AB189)*Inputs!$B$34</f>
        <v>2.04185187841021</v>
      </c>
      <c r="AC190" s="47" t="n">
        <f aca="false">($B$184-AC187-AC189)*Inputs!$B$34</f>
        <v>2.04185187841021</v>
      </c>
      <c r="AD190" s="47" t="n">
        <f aca="false">($B$184-AD187-AD189)*Inputs!$B$34</f>
        <v>2.04185187841021</v>
      </c>
      <c r="AE190" s="47" t="n">
        <f aca="false">($B$184-AE187-AE189)*Inputs!$B$34</f>
        <v>2.04185187841021</v>
      </c>
      <c r="AF190" s="47" t="n">
        <f aca="false">($B$184-AF187-AF189)*Inputs!$B$34</f>
        <v>2.04185187841021</v>
      </c>
      <c r="AG190" s="47" t="n">
        <f aca="false">($B$184-AG187-AG189)*Inputs!$B$34</f>
        <v>2.04185187841021</v>
      </c>
      <c r="AH190" s="47" t="n">
        <f aca="false">($B$184-AH187-AH189)*Inputs!$B$34</f>
        <v>2.04185187841021</v>
      </c>
      <c r="AI190" s="47" t="n">
        <f aca="false">($B$184-AI187-AI189)*Inputs!$B$34</f>
        <v>2.04185187841021</v>
      </c>
      <c r="AJ190" s="47" t="n">
        <f aca="false">($B$184-AJ187-AJ189)*Inputs!$B$34</f>
        <v>2.04185187841021</v>
      </c>
      <c r="AK190" s="47" t="n">
        <f aca="false">($B$184-AK187-AK189)*Inputs!$B$34</f>
        <v>2.04185187841021</v>
      </c>
    </row>
    <row r="191" customFormat="false" ht="15" hidden="false" customHeight="false" outlineLevel="0" collapsed="false">
      <c r="A191" s="10" t="s">
        <v>579</v>
      </c>
      <c r="H191" s="47" t="n">
        <f aca="false">$B$184-H190</f>
        <v>49.004445081845</v>
      </c>
      <c r="I191" s="47" t="n">
        <f aca="false">$B$184-I190</f>
        <v>49.004445081845</v>
      </c>
      <c r="J191" s="47" t="n">
        <f aca="false">$B$184-J190</f>
        <v>49.004445081845</v>
      </c>
      <c r="K191" s="47" t="n">
        <f aca="false">$B$184-K190</f>
        <v>49.004445081845</v>
      </c>
      <c r="L191" s="47" t="n">
        <f aca="false">$B$184-L190</f>
        <v>49.004445081845</v>
      </c>
      <c r="M191" s="47" t="n">
        <f aca="false">$B$184-M190</f>
        <v>49.004445081845</v>
      </c>
      <c r="N191" s="47" t="n">
        <f aca="false">$B$184-N190</f>
        <v>49.004445081845</v>
      </c>
      <c r="O191" s="47" t="n">
        <f aca="false">$B$184-O190</f>
        <v>49.004445081845</v>
      </c>
      <c r="P191" s="47" t="n">
        <f aca="false">$B$184-P190</f>
        <v>49.004445081845</v>
      </c>
      <c r="Q191" s="47" t="n">
        <f aca="false">$B$184-Q190</f>
        <v>49.004445081845</v>
      </c>
      <c r="R191" s="47" t="n">
        <f aca="false">$B$184-R190</f>
        <v>49.004445081845</v>
      </c>
      <c r="S191" s="47" t="n">
        <f aca="false">$B$184-S190</f>
        <v>49.004445081845</v>
      </c>
      <c r="T191" s="47" t="n">
        <f aca="false">$B$184-T190</f>
        <v>49.004445081845</v>
      </c>
      <c r="U191" s="47" t="n">
        <f aca="false">$B$184-U190</f>
        <v>49.004445081845</v>
      </c>
      <c r="V191" s="47" t="n">
        <f aca="false">$B$184-V190</f>
        <v>49.004445081845</v>
      </c>
      <c r="W191" s="47" t="n">
        <f aca="false">$B$184-W190</f>
        <v>49.004445081845</v>
      </c>
      <c r="X191" s="47" t="n">
        <f aca="false">$B$184-X190</f>
        <v>49.004445081845</v>
      </c>
      <c r="Y191" s="47" t="n">
        <f aca="false">$B$184-Y190</f>
        <v>49.004445081845</v>
      </c>
      <c r="Z191" s="47" t="n">
        <f aca="false">$B$184-Z190</f>
        <v>49.004445081845</v>
      </c>
      <c r="AA191" s="47" t="n">
        <f aca="false">$B$184-AA190</f>
        <v>49.004445081845</v>
      </c>
      <c r="AB191" s="47" t="n">
        <f aca="false">$B$184-AB190</f>
        <v>49.004445081845</v>
      </c>
      <c r="AC191" s="47" t="n">
        <f aca="false">$B$184-AC190</f>
        <v>49.004445081845</v>
      </c>
      <c r="AD191" s="47" t="n">
        <f aca="false">$B$184-AD190</f>
        <v>49.004445081845</v>
      </c>
      <c r="AE191" s="47" t="n">
        <f aca="false">$B$184-AE190</f>
        <v>49.004445081845</v>
      </c>
      <c r="AF191" s="47" t="n">
        <f aca="false">$B$184-AF190</f>
        <v>49.004445081845</v>
      </c>
      <c r="AG191" s="47" t="n">
        <f aca="false">$B$184-AG190</f>
        <v>49.004445081845</v>
      </c>
      <c r="AH191" s="47" t="n">
        <f aca="false">$B$184-AH190</f>
        <v>49.004445081845</v>
      </c>
      <c r="AI191" s="47" t="n">
        <f aca="false">$B$184-AI190</f>
        <v>49.004445081845</v>
      </c>
      <c r="AJ191" s="47" t="n">
        <f aca="false">$B$184-AJ190</f>
        <v>49.004445081845</v>
      </c>
      <c r="AK191" s="47" t="n">
        <f aca="false">$B$184-AK190</f>
        <v>49.004445081845</v>
      </c>
    </row>
    <row r="192" customFormat="false" ht="15" hidden="false" customHeight="false" outlineLevel="0" collapsed="false">
      <c r="A192" s="10" t="s">
        <v>580</v>
      </c>
      <c r="G192" s="47" t="n">
        <f aca="false">$F$143</f>
        <v>0</v>
      </c>
      <c r="H192" s="47" t="n">
        <f aca="false">G192</f>
        <v>0</v>
      </c>
      <c r="I192" s="47" t="n">
        <f aca="false">H192-H193</f>
        <v>0</v>
      </c>
      <c r="J192" s="47" t="n">
        <f aca="false">I192-I193</f>
        <v>0</v>
      </c>
      <c r="K192" s="47" t="n">
        <f aca="false">J192-J193</f>
        <v>0</v>
      </c>
      <c r="L192" s="47" t="n">
        <f aca="false">K192-K193</f>
        <v>0</v>
      </c>
      <c r="M192" s="47" t="n">
        <f aca="false">L192-L193</f>
        <v>0</v>
      </c>
      <c r="N192" s="47" t="n">
        <f aca="false">M192-M193</f>
        <v>0</v>
      </c>
      <c r="O192" s="47" t="n">
        <f aca="false">N192-N193</f>
        <v>0</v>
      </c>
      <c r="P192" s="47" t="n">
        <f aca="false">O192-O193</f>
        <v>0</v>
      </c>
      <c r="Q192" s="47" t="n">
        <f aca="false">P192-P193</f>
        <v>0</v>
      </c>
      <c r="R192" s="47" t="n">
        <f aca="false">Q192-Q193</f>
        <v>0</v>
      </c>
      <c r="S192" s="47" t="n">
        <f aca="false">R192-R193</f>
        <v>0</v>
      </c>
      <c r="T192" s="47" t="n">
        <f aca="false">S192-S193</f>
        <v>0</v>
      </c>
      <c r="U192" s="47" t="n">
        <f aca="false">T192-T193</f>
        <v>0</v>
      </c>
      <c r="V192" s="47" t="n">
        <f aca="false">U192-U193</f>
        <v>0</v>
      </c>
      <c r="W192" s="47" t="n">
        <f aca="false">V192-V193</f>
        <v>0</v>
      </c>
      <c r="X192" s="47" t="n">
        <f aca="false">W192-W193</f>
        <v>0</v>
      </c>
      <c r="Y192" s="47" t="n">
        <f aca="false">X192-X193</f>
        <v>0</v>
      </c>
      <c r="Z192" s="47" t="n">
        <f aca="false">Y192-Y193</f>
        <v>0</v>
      </c>
      <c r="AA192" s="47" t="n">
        <f aca="false">Z192-Z193</f>
        <v>0</v>
      </c>
      <c r="AB192" s="47" t="n">
        <f aca="false">AA192-AA193</f>
        <v>0</v>
      </c>
      <c r="AC192" s="47" t="n">
        <f aca="false">AB192-AB193</f>
        <v>0</v>
      </c>
      <c r="AD192" s="47" t="n">
        <f aca="false">AC192-AC193</f>
        <v>0</v>
      </c>
      <c r="AE192" s="47" t="n">
        <f aca="false">AD192-AD193</f>
        <v>0</v>
      </c>
      <c r="AF192" s="47" t="n">
        <f aca="false">AE192-AE193</f>
        <v>0</v>
      </c>
      <c r="AG192" s="47" t="n">
        <f aca="false">AF192-AF193</f>
        <v>0</v>
      </c>
      <c r="AH192" s="47" t="n">
        <f aca="false">AG192-AG193</f>
        <v>0</v>
      </c>
      <c r="AI192" s="47" t="n">
        <f aca="false">AH192-AH193</f>
        <v>0</v>
      </c>
      <c r="AJ192" s="47" t="n">
        <f aca="false">AI192-AI193</f>
        <v>0</v>
      </c>
      <c r="AK192" s="47" t="n">
        <f aca="false">AJ192-AJ193</f>
        <v>0</v>
      </c>
    </row>
    <row r="193" customFormat="false" ht="15" hidden="false" customHeight="false" outlineLevel="0" collapsed="false">
      <c r="A193" s="10" t="s">
        <v>581</v>
      </c>
      <c r="H193" s="47" t="n">
        <f aca="false">MIN(H192,Inputs!$B$35*H191,1E+099)</f>
        <v>0</v>
      </c>
      <c r="I193" s="47" t="n">
        <f aca="false">MIN(I192,Inputs!$B$35*I191,1E+099)</f>
        <v>0</v>
      </c>
      <c r="J193" s="47" t="n">
        <f aca="false">MIN(J192,Inputs!$B$35*J191,1E+099)</f>
        <v>0</v>
      </c>
      <c r="K193" s="47" t="n">
        <f aca="false">MIN(K192,Inputs!$B$35*K191,1E+099)</f>
        <v>0</v>
      </c>
      <c r="L193" s="47" t="n">
        <f aca="false">MIN(L192,Inputs!$B$35*L191,1E+099)</f>
        <v>0</v>
      </c>
      <c r="M193" s="47" t="n">
        <f aca="false">MIN(M192,Inputs!$B$35*M191,1E+099)</f>
        <v>0</v>
      </c>
      <c r="N193" s="47" t="n">
        <f aca="false">MIN(N192,Inputs!$B$35*N191,1E+099)</f>
        <v>0</v>
      </c>
      <c r="O193" s="47" t="n">
        <f aca="false">MIN(O192,Inputs!$B$35*O191,1E+099)</f>
        <v>0</v>
      </c>
      <c r="P193" s="47" t="n">
        <f aca="false">MIN(P192,Inputs!$B$35*P191,1E+099)</f>
        <v>0</v>
      </c>
      <c r="Q193" s="47" t="n">
        <f aca="false">MIN(Q192,Inputs!$B$35*Q191,1E+099)</f>
        <v>0</v>
      </c>
      <c r="R193" s="47" t="n">
        <f aca="false">MIN(R192,Inputs!$B$35*R191,1E+099)</f>
        <v>0</v>
      </c>
      <c r="S193" s="47" t="n">
        <f aca="false">MIN(S192,Inputs!$B$35*S191,1E+099)</f>
        <v>0</v>
      </c>
      <c r="T193" s="47" t="n">
        <f aca="false">MIN(T192,Inputs!$B$35*T191,1E+099)</f>
        <v>0</v>
      </c>
      <c r="U193" s="47" t="n">
        <f aca="false">MIN(U192,Inputs!$B$35*U191,1E+099)</f>
        <v>0</v>
      </c>
      <c r="V193" s="47" t="n">
        <f aca="false">MIN(V192,Inputs!$B$35*V191,1E+099)</f>
        <v>0</v>
      </c>
      <c r="W193" s="47" t="n">
        <f aca="false">MIN(W192,Inputs!$B$35*W191,1E+099)</f>
        <v>0</v>
      </c>
      <c r="X193" s="47" t="n">
        <f aca="false">MIN(X192,Inputs!$B$35*X191,1E+099)</f>
        <v>0</v>
      </c>
      <c r="Y193" s="47" t="n">
        <f aca="false">MIN(Y192,Inputs!$B$35*Y191,1E+099)</f>
        <v>0</v>
      </c>
      <c r="Z193" s="47" t="n">
        <f aca="false">MIN(Z192,Inputs!$B$35*Z191,1E+099)</f>
        <v>0</v>
      </c>
      <c r="AA193" s="47" t="n">
        <f aca="false">MIN(AA192,Inputs!$B$35*AA191,1E+099)</f>
        <v>0</v>
      </c>
      <c r="AB193" s="47" t="n">
        <f aca="false">MIN(AB192,Inputs!$B$35*AB191,1E+099)</f>
        <v>0</v>
      </c>
      <c r="AC193" s="47" t="n">
        <f aca="false">MIN(AC192,Inputs!$B$35*AC191,1E+099)</f>
        <v>0</v>
      </c>
      <c r="AD193" s="47" t="n">
        <f aca="false">MIN(AD192,Inputs!$B$35*AD191,1E+099)</f>
        <v>0</v>
      </c>
      <c r="AE193" s="47" t="n">
        <f aca="false">MIN(AE192,Inputs!$B$35*AE191,1E+099)</f>
        <v>0</v>
      </c>
      <c r="AF193" s="47" t="n">
        <f aca="false">MIN(AF192,Inputs!$B$35*AF191,1E+099)</f>
        <v>0</v>
      </c>
      <c r="AG193" s="47" t="n">
        <f aca="false">MIN(AG192,Inputs!$B$35*AG191,1E+099)</f>
        <v>0</v>
      </c>
      <c r="AH193" s="47" t="n">
        <f aca="false">MIN(AH192,Inputs!$B$35*AH191,1E+099)</f>
        <v>0</v>
      </c>
      <c r="AI193" s="47" t="n">
        <f aca="false">MIN(AI192,Inputs!$B$35*AI191,1E+099)</f>
        <v>0</v>
      </c>
      <c r="AJ193" s="47" t="n">
        <f aca="false">MIN(AJ192,Inputs!$B$35*AJ191,1E+099)</f>
        <v>0</v>
      </c>
      <c r="AK193" s="47" t="n">
        <f aca="false">MIN(AK192,Inputs!$B$35*AK191,1E+099)</f>
        <v>0</v>
      </c>
    </row>
    <row r="194" customFormat="false" ht="15" hidden="false" customHeight="false" outlineLevel="0" collapsed="false">
      <c r="A194" s="10" t="s">
        <v>582</v>
      </c>
      <c r="G194" s="47" t="n">
        <f aca="false">$F$144</f>
        <v>0</v>
      </c>
      <c r="H194" s="47" t="n">
        <f aca="false">G194</f>
        <v>0</v>
      </c>
      <c r="I194" s="47" t="n">
        <f aca="false">H194-H195</f>
        <v>0</v>
      </c>
      <c r="J194" s="47" t="n">
        <f aca="false">I194-I195</f>
        <v>0</v>
      </c>
      <c r="K194" s="47" t="n">
        <f aca="false">J194-J195</f>
        <v>0</v>
      </c>
      <c r="L194" s="47" t="n">
        <f aca="false">K194-K195</f>
        <v>0</v>
      </c>
      <c r="M194" s="47" t="n">
        <f aca="false">L194-L195</f>
        <v>0</v>
      </c>
      <c r="N194" s="47" t="n">
        <f aca="false">M194-M195</f>
        <v>0</v>
      </c>
      <c r="O194" s="47" t="n">
        <f aca="false">N194-N195</f>
        <v>0</v>
      </c>
      <c r="P194" s="47" t="n">
        <f aca="false">O194-O195</f>
        <v>0</v>
      </c>
      <c r="Q194" s="47" t="n">
        <f aca="false">P194-P195</f>
        <v>0</v>
      </c>
      <c r="R194" s="47" t="n">
        <f aca="false">Q194-Q195</f>
        <v>0</v>
      </c>
      <c r="S194" s="47" t="n">
        <f aca="false">R194-R195</f>
        <v>0</v>
      </c>
      <c r="T194" s="47" t="n">
        <f aca="false">S194-S195</f>
        <v>0</v>
      </c>
      <c r="U194" s="47" t="n">
        <f aca="false">T194-T195</f>
        <v>0</v>
      </c>
      <c r="V194" s="47" t="n">
        <f aca="false">U194-U195</f>
        <v>0</v>
      </c>
      <c r="W194" s="47" t="n">
        <f aca="false">V194-V195</f>
        <v>0</v>
      </c>
      <c r="X194" s="47" t="n">
        <f aca="false">W194-W195</f>
        <v>0</v>
      </c>
      <c r="Y194" s="47" t="n">
        <f aca="false">X194-X195</f>
        <v>0</v>
      </c>
      <c r="Z194" s="47" t="n">
        <f aca="false">Y194-Y195</f>
        <v>0</v>
      </c>
      <c r="AA194" s="47" t="n">
        <f aca="false">Z194-Z195</f>
        <v>0</v>
      </c>
      <c r="AB194" s="47" t="n">
        <f aca="false">AA194-AA195</f>
        <v>0</v>
      </c>
      <c r="AC194" s="47" t="n">
        <f aca="false">AB194-AB195</f>
        <v>0</v>
      </c>
      <c r="AD194" s="47" t="n">
        <f aca="false">AC194-AC195</f>
        <v>0</v>
      </c>
      <c r="AE194" s="47" t="n">
        <f aca="false">AD194-AD195</f>
        <v>0</v>
      </c>
      <c r="AF194" s="47" t="n">
        <f aca="false">AE194-AE195</f>
        <v>0</v>
      </c>
      <c r="AG194" s="47" t="n">
        <f aca="false">AF194-AF195</f>
        <v>0</v>
      </c>
      <c r="AH194" s="47" t="n">
        <f aca="false">AG194-AG195</f>
        <v>0</v>
      </c>
      <c r="AI194" s="47" t="n">
        <f aca="false">AH194-AH195</f>
        <v>0</v>
      </c>
      <c r="AJ194" s="47" t="n">
        <f aca="false">AI194-AI195</f>
        <v>0</v>
      </c>
      <c r="AK194" s="47" t="n">
        <f aca="false">AJ194-AJ195</f>
        <v>0</v>
      </c>
    </row>
    <row r="195" customFormat="false" ht="15" hidden="false" customHeight="false" outlineLevel="0" collapsed="false">
      <c r="A195" s="10" t="s">
        <v>576</v>
      </c>
      <c r="H195" s="47" t="n">
        <f aca="false">MIN(H194,Inputs!$B$35*H191-H193)</f>
        <v>0</v>
      </c>
      <c r="I195" s="47" t="n">
        <f aca="false">MIN(I194,Inputs!$B$35*I191-I193)</f>
        <v>0</v>
      </c>
      <c r="J195" s="47" t="n">
        <f aca="false">MIN(J194,Inputs!$B$35*J191-J193)</f>
        <v>0</v>
      </c>
      <c r="K195" s="47" t="n">
        <f aca="false">MIN(K194,Inputs!$B$35*K191-K193)</f>
        <v>0</v>
      </c>
      <c r="L195" s="47" t="n">
        <f aca="false">MIN(L194,Inputs!$B$35*L191-L193)</f>
        <v>0</v>
      </c>
      <c r="M195" s="47" t="n">
        <f aca="false">MIN(M194,Inputs!$B$35*M191-M193)</f>
        <v>0</v>
      </c>
      <c r="N195" s="47" t="n">
        <f aca="false">MIN(N194,Inputs!$B$35*N191-N193)</f>
        <v>0</v>
      </c>
      <c r="O195" s="47" t="n">
        <f aca="false">MIN(O194,Inputs!$B$35*O191-O193)</f>
        <v>0</v>
      </c>
      <c r="P195" s="47" t="n">
        <f aca="false">MIN(P194,Inputs!$B$35*P191-P193)</f>
        <v>0</v>
      </c>
      <c r="Q195" s="47" t="n">
        <f aca="false">MIN(Q194,Inputs!$B$35*Q191-Q193)</f>
        <v>0</v>
      </c>
      <c r="R195" s="47" t="n">
        <f aca="false">MIN(R194,Inputs!$B$35*R191-R193)</f>
        <v>0</v>
      </c>
      <c r="S195" s="47" t="n">
        <f aca="false">MIN(S194,Inputs!$B$35*S191-S193)</f>
        <v>0</v>
      </c>
      <c r="T195" s="47" t="n">
        <f aca="false">MIN(T194,Inputs!$B$35*T191-T193)</f>
        <v>0</v>
      </c>
      <c r="U195" s="47" t="n">
        <f aca="false">MIN(U194,Inputs!$B$35*U191-U193)</f>
        <v>0</v>
      </c>
      <c r="V195" s="47" t="n">
        <f aca="false">MIN(V194,Inputs!$B$35*V191-V193)</f>
        <v>0</v>
      </c>
      <c r="W195" s="47" t="n">
        <f aca="false">MIN(W194,Inputs!$B$35*W191-W193)</f>
        <v>0</v>
      </c>
      <c r="X195" s="47" t="n">
        <f aca="false">MIN(X194,Inputs!$B$35*X191-X193)</f>
        <v>0</v>
      </c>
      <c r="Y195" s="47" t="n">
        <f aca="false">MIN(Y194,Inputs!$B$35*Y191-Y193)</f>
        <v>0</v>
      </c>
      <c r="Z195" s="47" t="n">
        <f aca="false">MIN(Z194,Inputs!$B$35*Z191-Z193)</f>
        <v>0</v>
      </c>
      <c r="AA195" s="47" t="n">
        <f aca="false">MIN(AA194,Inputs!$B$35*AA191-AA193)</f>
        <v>0</v>
      </c>
      <c r="AB195" s="47" t="n">
        <f aca="false">MIN(AB194,Inputs!$B$35*AB191-AB193)</f>
        <v>0</v>
      </c>
      <c r="AC195" s="47" t="n">
        <f aca="false">MIN(AC194,Inputs!$B$35*AC191-AC193)</f>
        <v>0</v>
      </c>
      <c r="AD195" s="47" t="n">
        <f aca="false">MIN(AD194,Inputs!$B$35*AD191-AD193)</f>
        <v>0</v>
      </c>
      <c r="AE195" s="47" t="n">
        <f aca="false">MIN(AE194,Inputs!$B$35*AE191-AE193)</f>
        <v>0</v>
      </c>
      <c r="AF195" s="47" t="n">
        <f aca="false">MIN(AF194,Inputs!$B$35*AF191-AF193)</f>
        <v>0</v>
      </c>
      <c r="AG195" s="47" t="n">
        <f aca="false">MIN(AG194,Inputs!$B$35*AG191-AG193)</f>
        <v>0</v>
      </c>
      <c r="AH195" s="47" t="n">
        <f aca="false">MIN(AH194,Inputs!$B$35*AH191-AH193)</f>
        <v>0</v>
      </c>
      <c r="AI195" s="47" t="n">
        <f aca="false">MIN(AI194,Inputs!$B$35*AI191-AI193)</f>
        <v>0</v>
      </c>
      <c r="AJ195" s="47" t="n">
        <f aca="false">MIN(AJ194,Inputs!$B$35*AJ191-AJ193)</f>
        <v>0</v>
      </c>
      <c r="AK195" s="47" t="n">
        <f aca="false">MIN(AK194,Inputs!$B$35*AK191-AK193)</f>
        <v>0</v>
      </c>
    </row>
    <row r="196" customFormat="false" ht="15" hidden="false" customHeight="false" outlineLevel="0" collapsed="false">
      <c r="A196" s="10" t="s">
        <v>583</v>
      </c>
      <c r="H196" s="47" t="n">
        <f aca="false">(H191-H193-H195)*Inputs!$B$33</f>
        <v>10.2909334671875</v>
      </c>
      <c r="I196" s="47" t="n">
        <f aca="false">(I191-I193-I195)*Inputs!$B$33</f>
        <v>10.2909334671875</v>
      </c>
      <c r="J196" s="47" t="n">
        <f aca="false">(J191-J193-J195)*Inputs!$B$33</f>
        <v>10.2909334671875</v>
      </c>
      <c r="K196" s="47" t="n">
        <f aca="false">(K191-K193-K195)*Inputs!$B$33</f>
        <v>10.2909334671875</v>
      </c>
      <c r="L196" s="47" t="n">
        <f aca="false">(L191-L193-L195)*Inputs!$B$33</f>
        <v>10.2909334671875</v>
      </c>
      <c r="M196" s="47" t="n">
        <f aca="false">(M191-M193-M195)*Inputs!$B$33</f>
        <v>10.2909334671875</v>
      </c>
      <c r="N196" s="47" t="n">
        <f aca="false">(N191-N193-N195)*Inputs!$B$33</f>
        <v>10.2909334671875</v>
      </c>
      <c r="O196" s="47" t="n">
        <f aca="false">(O191-O193-O195)*Inputs!$B$33</f>
        <v>10.2909334671875</v>
      </c>
      <c r="P196" s="47" t="n">
        <f aca="false">(P191-P193-P195)*Inputs!$B$33</f>
        <v>10.2909334671875</v>
      </c>
      <c r="Q196" s="47" t="n">
        <f aca="false">(Q191-Q193-Q195)*Inputs!$B$33</f>
        <v>10.2909334671875</v>
      </c>
      <c r="R196" s="47" t="n">
        <f aca="false">(R191-R193-R195)*Inputs!$B$33</f>
        <v>10.2909334671875</v>
      </c>
      <c r="S196" s="47" t="n">
        <f aca="false">(S191-S193-S195)*Inputs!$B$33</f>
        <v>10.2909334671875</v>
      </c>
      <c r="T196" s="47" t="n">
        <f aca="false">(T191-T193-T195)*Inputs!$B$33</f>
        <v>10.2909334671875</v>
      </c>
      <c r="U196" s="47" t="n">
        <f aca="false">(U191-U193-U195)*Inputs!$B$33</f>
        <v>10.2909334671875</v>
      </c>
      <c r="V196" s="47" t="n">
        <f aca="false">(V191-V193-V195)*Inputs!$B$33</f>
        <v>10.2909334671875</v>
      </c>
      <c r="W196" s="47" t="n">
        <f aca="false">(W191-W193-W195)*Inputs!$B$33</f>
        <v>10.2909334671875</v>
      </c>
      <c r="X196" s="47" t="n">
        <f aca="false">(X191-X193-X195)*Inputs!$B$33</f>
        <v>10.2909334671875</v>
      </c>
      <c r="Y196" s="47" t="n">
        <f aca="false">(Y191-Y193-Y195)*Inputs!$B$33</f>
        <v>10.2909334671875</v>
      </c>
      <c r="Z196" s="47" t="n">
        <f aca="false">(Z191-Z193-Z195)*Inputs!$B$33</f>
        <v>10.2909334671875</v>
      </c>
      <c r="AA196" s="47" t="n">
        <f aca="false">(AA191-AA193-AA195)*Inputs!$B$33</f>
        <v>10.2909334671875</v>
      </c>
      <c r="AB196" s="47" t="n">
        <f aca="false">(AB191-AB193-AB195)*Inputs!$B$33</f>
        <v>10.2909334671875</v>
      </c>
      <c r="AC196" s="47" t="n">
        <f aca="false">(AC191-AC193-AC195)*Inputs!$B$33</f>
        <v>10.2909334671875</v>
      </c>
      <c r="AD196" s="47" t="n">
        <f aca="false">(AD191-AD193-AD195)*Inputs!$B$33</f>
        <v>10.2909334671875</v>
      </c>
      <c r="AE196" s="47" t="n">
        <f aca="false">(AE191-AE193-AE195)*Inputs!$B$33</f>
        <v>10.2909334671875</v>
      </c>
      <c r="AF196" s="47" t="n">
        <f aca="false">(AF191-AF193-AF195)*Inputs!$B$33</f>
        <v>10.2909334671875</v>
      </c>
      <c r="AG196" s="47" t="n">
        <f aca="false">(AG191-AG193-AG195)*Inputs!$B$33</f>
        <v>10.2909334671875</v>
      </c>
      <c r="AH196" s="47" t="n">
        <f aca="false">(AH191-AH193-AH195)*Inputs!$B$33</f>
        <v>10.2909334671875</v>
      </c>
      <c r="AI196" s="47" t="n">
        <f aca="false">(AI191-AI193-AI195)*Inputs!$B$33</f>
        <v>10.2909334671875</v>
      </c>
      <c r="AJ196" s="47" t="n">
        <f aca="false">(AJ191-AJ193-AJ195)*Inputs!$B$33</f>
        <v>10.2909334671875</v>
      </c>
      <c r="AK196" s="47" t="n">
        <f aca="false">(AK191-AK193-AK195)*Inputs!$B$33</f>
        <v>10.2909334671875</v>
      </c>
    </row>
    <row r="197" customFormat="false" ht="15" hidden="false" customHeight="false" outlineLevel="0" collapsed="false">
      <c r="A197" s="10" t="s">
        <v>584</v>
      </c>
      <c r="G197" s="47" t="n">
        <f aca="false">$F$147</f>
        <v>0</v>
      </c>
      <c r="H197" s="47" t="n">
        <f aca="false">G197</f>
        <v>0</v>
      </c>
      <c r="I197" s="47" t="n">
        <f aca="false">H197-H198</f>
        <v>0</v>
      </c>
      <c r="J197" s="47" t="n">
        <f aca="false">I197-I198</f>
        <v>0</v>
      </c>
      <c r="K197" s="47" t="n">
        <f aca="false">J197-J198</f>
        <v>0</v>
      </c>
      <c r="L197" s="47" t="n">
        <f aca="false">K197-K198</f>
        <v>0</v>
      </c>
      <c r="M197" s="47" t="n">
        <f aca="false">L197-L198</f>
        <v>0</v>
      </c>
      <c r="N197" s="47" t="n">
        <f aca="false">M197-M198</f>
        <v>0</v>
      </c>
      <c r="O197" s="47" t="n">
        <f aca="false">N197-N198</f>
        <v>0</v>
      </c>
      <c r="P197" s="47" t="n">
        <f aca="false">O197-O198</f>
        <v>0</v>
      </c>
      <c r="Q197" s="47" t="n">
        <f aca="false">P197-P198</f>
        <v>0</v>
      </c>
      <c r="R197" s="47" t="n">
        <f aca="false">Q197-Q198</f>
        <v>0</v>
      </c>
      <c r="S197" s="47" t="n">
        <f aca="false">R197-R198</f>
        <v>0</v>
      </c>
      <c r="T197" s="47" t="n">
        <f aca="false">S197-S198</f>
        <v>0</v>
      </c>
      <c r="U197" s="47" t="n">
        <f aca="false">T197-T198</f>
        <v>0</v>
      </c>
      <c r="V197" s="47" t="n">
        <f aca="false">U197-U198</f>
        <v>0</v>
      </c>
      <c r="W197" s="47" t="n">
        <f aca="false">V197-V198</f>
        <v>0</v>
      </c>
      <c r="X197" s="47" t="n">
        <f aca="false">W197-W198</f>
        <v>0</v>
      </c>
      <c r="Y197" s="47" t="n">
        <f aca="false">X197-X198</f>
        <v>0</v>
      </c>
      <c r="Z197" s="47" t="n">
        <f aca="false">Y197-Y198</f>
        <v>0</v>
      </c>
      <c r="AA197" s="47" t="n">
        <f aca="false">Z197-Z198</f>
        <v>0</v>
      </c>
      <c r="AB197" s="47" t="n">
        <f aca="false">AA197-AA198</f>
        <v>0</v>
      </c>
      <c r="AC197" s="47" t="n">
        <f aca="false">AB197-AB198</f>
        <v>0</v>
      </c>
      <c r="AD197" s="47" t="n">
        <f aca="false">AC197-AC198</f>
        <v>0</v>
      </c>
      <c r="AE197" s="47" t="n">
        <f aca="false">AD197-AD198</f>
        <v>0</v>
      </c>
      <c r="AF197" s="47" t="n">
        <f aca="false">AE197-AE198</f>
        <v>0</v>
      </c>
      <c r="AG197" s="47" t="n">
        <f aca="false">AF197-AF198</f>
        <v>0</v>
      </c>
      <c r="AH197" s="47" t="n">
        <f aca="false">AG197-AG198</f>
        <v>0</v>
      </c>
      <c r="AI197" s="47" t="n">
        <f aca="false">AH197-AH198</f>
        <v>0</v>
      </c>
      <c r="AJ197" s="47" t="n">
        <f aca="false">AI197-AI198</f>
        <v>0</v>
      </c>
      <c r="AK197" s="47" t="n">
        <f aca="false">AJ197-AJ198</f>
        <v>0</v>
      </c>
    </row>
    <row r="198" customFormat="false" ht="15" hidden="false" customHeight="false" outlineLevel="0" collapsed="false">
      <c r="A198" s="10" t="s">
        <v>585</v>
      </c>
      <c r="H198" s="47" t="n">
        <f aca="false">IF(1&lt;=Inputs!$B$43,MIN(H197,H196,MAX(0,1E+099-H193)*Inputs!$B$33),0)</f>
        <v>0</v>
      </c>
      <c r="I198" s="47" t="n">
        <f aca="false">IF(2&lt;=Inputs!$B$43,MIN(I197,I196,MAX(0,1E+099-I193)*Inputs!$B$33),0)</f>
        <v>0</v>
      </c>
      <c r="J198" s="47" t="n">
        <f aca="false">IF(3&lt;=Inputs!$B$43,MIN(J197,J196,MAX(0,1E+099-J193)*Inputs!$B$33),0)</f>
        <v>0</v>
      </c>
      <c r="K198" s="47" t="n">
        <f aca="false">IF(4&lt;=Inputs!$B$43,MIN(K197,K196,MAX(0,1E+099-K193)*Inputs!$B$33),0)</f>
        <v>0</v>
      </c>
      <c r="L198" s="47" t="n">
        <f aca="false">IF(5&lt;=Inputs!$B$43,MIN(L197,L196,MAX(0,1E+099-L193)*Inputs!$B$33),0)</f>
        <v>0</v>
      </c>
      <c r="M198" s="47" t="n">
        <f aca="false">IF(6&lt;=Inputs!$B$43,MIN(M197,M196,MAX(0,1E+099-M193)*Inputs!$B$33),0)</f>
        <v>0</v>
      </c>
      <c r="N198" s="47" t="n">
        <f aca="false">IF(7&lt;=Inputs!$B$43,MIN(N197,N196,MAX(0,1E+099-N193)*Inputs!$B$33),0)</f>
        <v>0</v>
      </c>
      <c r="O198" s="47" t="n">
        <f aca="false">IF(8&lt;=Inputs!$B$43,MIN(O197,O196,MAX(0,1E+099-O193)*Inputs!$B$33),0)</f>
        <v>0</v>
      </c>
      <c r="P198" s="47" t="n">
        <f aca="false">IF(9&lt;=Inputs!$B$43,MIN(P197,P196,MAX(0,1E+099-P193)*Inputs!$B$33),0)</f>
        <v>0</v>
      </c>
      <c r="Q198" s="47" t="n">
        <f aca="false">IF(10&lt;=Inputs!$B$43,MIN(Q197,Q196,MAX(0,1E+099-Q193)*Inputs!$B$33),0)</f>
        <v>0</v>
      </c>
      <c r="R198" s="47" t="n">
        <f aca="false">IF(11&lt;=Inputs!$B$43,MIN(R197,R196,MAX(0,1E+099-R193)*Inputs!$B$33),0)</f>
        <v>0</v>
      </c>
      <c r="S198" s="47" t="n">
        <f aca="false">IF(12&lt;=Inputs!$B$43,MIN(S197,S196,MAX(0,1E+099-S193)*Inputs!$B$33),0)</f>
        <v>0</v>
      </c>
      <c r="T198" s="47" t="n">
        <f aca="false">IF(13&lt;=Inputs!$B$43,MIN(T197,T196,MAX(0,1E+099-T193)*Inputs!$B$33),0)</f>
        <v>0</v>
      </c>
      <c r="U198" s="47" t="n">
        <f aca="false">IF(14&lt;=Inputs!$B$43,MIN(U197,U196,MAX(0,1E+099-U193)*Inputs!$B$33),0)</f>
        <v>0</v>
      </c>
      <c r="V198" s="47" t="n">
        <f aca="false">IF(15&lt;=Inputs!$B$43,MIN(V197,V196,MAX(0,1E+099-V193)*Inputs!$B$33),0)</f>
        <v>0</v>
      </c>
      <c r="W198" s="47" t="n">
        <f aca="false">IF(16&lt;=Inputs!$B$43,MIN(W197,W196,MAX(0,1E+099-W193)*Inputs!$B$33),0)</f>
        <v>0</v>
      </c>
      <c r="X198" s="47" t="n">
        <f aca="false">IF(17&lt;=Inputs!$B$43,MIN(X197,X196,MAX(0,1E+099-X193)*Inputs!$B$33),0)</f>
        <v>0</v>
      </c>
      <c r="Y198" s="47" t="n">
        <f aca="false">IF(18&lt;=Inputs!$B$43,MIN(Y197,Y196,MAX(0,1E+099-Y193)*Inputs!$B$33),0)</f>
        <v>0</v>
      </c>
      <c r="Z198" s="47" t="n">
        <f aca="false">IF(19&lt;=Inputs!$B$43,MIN(Z197,Z196,MAX(0,1E+099-Z193)*Inputs!$B$33),0)</f>
        <v>0</v>
      </c>
      <c r="AA198" s="47" t="n">
        <f aca="false">IF(20&lt;=Inputs!$B$43,MIN(AA197,AA196,MAX(0,1E+099-AA193)*Inputs!$B$33),0)</f>
        <v>0</v>
      </c>
      <c r="AB198" s="47" t="n">
        <f aca="false">IF(21&lt;=Inputs!$B$43,MIN(AB197,AB196,MAX(0,1E+099-AB193)*Inputs!$B$33),0)</f>
        <v>0</v>
      </c>
      <c r="AC198" s="47" t="n">
        <f aca="false">IF(22&lt;=Inputs!$B$43,MIN(AC197,AC196,MAX(0,1E+099-AC193)*Inputs!$B$33),0)</f>
        <v>0</v>
      </c>
      <c r="AD198" s="47" t="n">
        <f aca="false">IF(23&lt;=Inputs!$B$43,MIN(AD197,AD196,MAX(0,1E+099-AD193)*Inputs!$B$33),0)</f>
        <v>0</v>
      </c>
      <c r="AE198" s="47" t="n">
        <f aca="false">IF(24&lt;=Inputs!$B$43,MIN(AE197,AE196,MAX(0,1E+099-AE193)*Inputs!$B$33),0)</f>
        <v>0</v>
      </c>
      <c r="AF198" s="47" t="n">
        <f aca="false">IF(25&lt;=Inputs!$B$43,MIN(AF197,AF196,MAX(0,1E+099-AF193)*Inputs!$B$33),0)</f>
        <v>0</v>
      </c>
      <c r="AG198" s="47" t="n">
        <f aca="false">IF(26&lt;=Inputs!$B$43,MIN(AG197,AG196,MAX(0,1E+099-AG193)*Inputs!$B$33),0)</f>
        <v>0</v>
      </c>
      <c r="AH198" s="47" t="n">
        <f aca="false">IF(27&lt;=Inputs!$B$43,MIN(AH197,AH196,MAX(0,1E+099-AH193)*Inputs!$B$33),0)</f>
        <v>0</v>
      </c>
      <c r="AI198" s="47" t="n">
        <f aca="false">IF(28&lt;=Inputs!$B$43,MIN(AI197,AI196,MAX(0,1E+099-AI193)*Inputs!$B$33),0)</f>
        <v>0</v>
      </c>
      <c r="AJ198" s="47" t="n">
        <f aca="false">IF(29&lt;=Inputs!$B$43,MIN(AJ197,AJ196,MAX(0,1E+099-AJ193)*Inputs!$B$33),0)</f>
        <v>0</v>
      </c>
      <c r="AK198" s="47" t="n">
        <f aca="false">IF(30&lt;=Inputs!$B$43,MIN(AK197,AK196,MAX(0,1E+099-AK193)*Inputs!$B$33),0)</f>
        <v>0</v>
      </c>
    </row>
    <row r="199" customFormat="false" ht="15" hidden="false" customHeight="false" outlineLevel="0" collapsed="false">
      <c r="A199" s="10" t="s">
        <v>586</v>
      </c>
      <c r="H199" s="47" t="n">
        <f aca="false">($B$184*Inputs!$B$34+($B$184-$B$184*Inputs!$B$34)*Inputs!$B$33)-(H190+H196-H198)</f>
        <v>0</v>
      </c>
      <c r="I199" s="47" t="n">
        <f aca="false">($B$184*Inputs!$B$34+($B$184-$B$184*Inputs!$B$34)*Inputs!$B$33)-(I190+I196-I198)</f>
        <v>0</v>
      </c>
      <c r="J199" s="47" t="n">
        <f aca="false">($B$184*Inputs!$B$34+($B$184-$B$184*Inputs!$B$34)*Inputs!$B$33)-(J190+J196-J198)</f>
        <v>0</v>
      </c>
      <c r="K199" s="47" t="n">
        <f aca="false">($B$184*Inputs!$B$34+($B$184-$B$184*Inputs!$B$34)*Inputs!$B$33)-(K190+K196-K198)</f>
        <v>0</v>
      </c>
      <c r="L199" s="47" t="n">
        <f aca="false">($B$184*Inputs!$B$34+($B$184-$B$184*Inputs!$B$34)*Inputs!$B$33)-(L190+L196-L198)</f>
        <v>0</v>
      </c>
      <c r="M199" s="47" t="n">
        <f aca="false">($B$184*Inputs!$B$34+($B$184-$B$184*Inputs!$B$34)*Inputs!$B$33)-(M190+M196-M198)</f>
        <v>0</v>
      </c>
      <c r="N199" s="47" t="n">
        <f aca="false">($B$184*Inputs!$B$34+($B$184-$B$184*Inputs!$B$34)*Inputs!$B$33)-(N190+N196-N198)</f>
        <v>0</v>
      </c>
      <c r="O199" s="47" t="n">
        <f aca="false">($B$184*Inputs!$B$34+($B$184-$B$184*Inputs!$B$34)*Inputs!$B$33)-(O190+O196-O198)</f>
        <v>0</v>
      </c>
      <c r="P199" s="47" t="n">
        <f aca="false">($B$184*Inputs!$B$34+($B$184-$B$184*Inputs!$B$34)*Inputs!$B$33)-(P190+P196-P198)</f>
        <v>0</v>
      </c>
      <c r="Q199" s="47" t="n">
        <f aca="false">($B$184*Inputs!$B$34+($B$184-$B$184*Inputs!$B$34)*Inputs!$B$33)-(Q190+Q196-Q198)</f>
        <v>0</v>
      </c>
      <c r="R199" s="47" t="n">
        <f aca="false">($B$184*Inputs!$B$34+($B$184-$B$184*Inputs!$B$34)*Inputs!$B$33)-(R190+R196-R198)</f>
        <v>0</v>
      </c>
      <c r="S199" s="47" t="n">
        <f aca="false">($B$184*Inputs!$B$34+($B$184-$B$184*Inputs!$B$34)*Inputs!$B$33)-(S190+S196-S198)</f>
        <v>0</v>
      </c>
      <c r="T199" s="47" t="n">
        <f aca="false">($B$184*Inputs!$B$34+($B$184-$B$184*Inputs!$B$34)*Inputs!$B$33)-(T190+T196-T198)</f>
        <v>0</v>
      </c>
      <c r="U199" s="47" t="n">
        <f aca="false">($B$184*Inputs!$B$34+($B$184-$B$184*Inputs!$B$34)*Inputs!$B$33)-(U190+U196-U198)</f>
        <v>0</v>
      </c>
      <c r="V199" s="47" t="n">
        <f aca="false">($B$184*Inputs!$B$34+($B$184-$B$184*Inputs!$B$34)*Inputs!$B$33)-(V190+V196-V198)</f>
        <v>0</v>
      </c>
      <c r="W199" s="47" t="n">
        <f aca="false">($B$184*Inputs!$B$34+($B$184-$B$184*Inputs!$B$34)*Inputs!$B$33)-(W190+W196-W198)</f>
        <v>0</v>
      </c>
      <c r="X199" s="47" t="n">
        <f aca="false">($B$184*Inputs!$B$34+($B$184-$B$184*Inputs!$B$34)*Inputs!$B$33)-(X190+X196-X198)</f>
        <v>0</v>
      </c>
      <c r="Y199" s="47" t="n">
        <f aca="false">($B$184*Inputs!$B$34+($B$184-$B$184*Inputs!$B$34)*Inputs!$B$33)-(Y190+Y196-Y198)</f>
        <v>0</v>
      </c>
      <c r="Z199" s="47" t="n">
        <f aca="false">($B$184*Inputs!$B$34+($B$184-$B$184*Inputs!$B$34)*Inputs!$B$33)-(Z190+Z196-Z198)</f>
        <v>0</v>
      </c>
      <c r="AA199" s="47" t="n">
        <f aca="false">($B$184*Inputs!$B$34+($B$184-$B$184*Inputs!$B$34)*Inputs!$B$33)-(AA190+AA196-AA198)</f>
        <v>0</v>
      </c>
      <c r="AB199" s="47" t="n">
        <f aca="false">($B$184*Inputs!$B$34+($B$184-$B$184*Inputs!$B$34)*Inputs!$B$33)-(AB190+AB196-AB198)</f>
        <v>0</v>
      </c>
      <c r="AC199" s="47" t="n">
        <f aca="false">($B$184*Inputs!$B$34+($B$184-$B$184*Inputs!$B$34)*Inputs!$B$33)-(AC190+AC196-AC198)</f>
        <v>0</v>
      </c>
      <c r="AD199" s="47" t="n">
        <f aca="false">($B$184*Inputs!$B$34+($B$184-$B$184*Inputs!$B$34)*Inputs!$B$33)-(AD190+AD196-AD198)</f>
        <v>0</v>
      </c>
      <c r="AE199" s="47" t="n">
        <f aca="false">($B$184*Inputs!$B$34+($B$184-$B$184*Inputs!$B$34)*Inputs!$B$33)-(AE190+AE196-AE198)</f>
        <v>0</v>
      </c>
      <c r="AF199" s="47" t="n">
        <f aca="false">($B$184*Inputs!$B$34+($B$184-$B$184*Inputs!$B$34)*Inputs!$B$33)-(AF190+AF196-AF198)</f>
        <v>0</v>
      </c>
      <c r="AG199" s="47" t="n">
        <f aca="false">($B$184*Inputs!$B$34+($B$184-$B$184*Inputs!$B$34)*Inputs!$B$33)-(AG190+AG196-AG198)</f>
        <v>0</v>
      </c>
      <c r="AH199" s="47" t="n">
        <f aca="false">($B$184*Inputs!$B$34+($B$184-$B$184*Inputs!$B$34)*Inputs!$B$33)-(AH190+AH196-AH198)</f>
        <v>0</v>
      </c>
      <c r="AI199" s="47" t="n">
        <f aca="false">($B$184*Inputs!$B$34+($B$184-$B$184*Inputs!$B$34)*Inputs!$B$33)-(AI190+AI196-AI198)</f>
        <v>0</v>
      </c>
      <c r="AJ199" s="47" t="n">
        <f aca="false">($B$184*Inputs!$B$34+($B$184-$B$184*Inputs!$B$34)*Inputs!$B$33)-(AJ190+AJ196-AJ198)</f>
        <v>0</v>
      </c>
      <c r="AK199" s="47" t="n">
        <f aca="false">($B$184*Inputs!$B$34+($B$184-$B$184*Inputs!$B$34)*Inputs!$B$33)-(AK190+AK196-AK198)</f>
        <v>0</v>
      </c>
    </row>
    <row r="200" customFormat="false" ht="15" hidden="false" customHeight="false" outlineLevel="0" collapsed="false">
      <c r="A200" s="10" t="s">
        <v>587</v>
      </c>
      <c r="B200" s="47" t="n">
        <f aca="false">SUMPRODUCT($H$199:$AK$199,$H$185:$AK$185)</f>
        <v>0</v>
      </c>
    </row>
    <row r="201" customFormat="false" ht="15" hidden="false" customHeight="false" outlineLevel="0" collapsed="false">
      <c r="A201" s="10" t="s">
        <v>588</v>
      </c>
      <c r="B201" s="47" t="n">
        <f aca="false">Inputs!$B$42*$B$200*$F$527</f>
        <v>0</v>
      </c>
    </row>
    <row r="202" customFormat="false" ht="15" hidden="false" customHeight="false" outlineLevel="0" collapsed="false">
      <c r="A202" s="10" t="s">
        <v>589</v>
      </c>
      <c r="B202" s="47" t="n">
        <f aca="false">$B$168</f>
        <v>33.3730954773869</v>
      </c>
    </row>
    <row r="203" customFormat="false" ht="15" hidden="false" customHeight="false" outlineLevel="0" collapsed="false">
      <c r="A203" s="10" t="s">
        <v>590</v>
      </c>
      <c r="B203" s="47" t="n">
        <f aca="false">Inputs!$B$18*IF(ISNUMBER($B$110),$B$110,Inputs!$B$12)</f>
        <v>6.18797520749616</v>
      </c>
    </row>
    <row r="204" customFormat="false" ht="15" hidden="false" customHeight="false" outlineLevel="0" collapsed="false">
      <c r="A204" s="10" t="s">
        <v>591</v>
      </c>
      <c r="B204" s="47" t="n">
        <f aca="false">SUMPRODUCT($C$163:$F$163,$C$527:$F$527)</f>
        <v>0</v>
      </c>
    </row>
    <row r="205" customFormat="false" ht="15" hidden="false" customHeight="false" outlineLevel="0" collapsed="false">
      <c r="A205" s="13" t="s">
        <v>592</v>
      </c>
      <c r="B205" s="18" t="n">
        <f aca="false">$B$183+$B$201+$B$202+$B$203-$B$204</f>
        <v>1441.43340377405</v>
      </c>
    </row>
    <row r="206" customFormat="false" ht="15" hidden="false" customHeight="false" outlineLevel="0" collapsed="false">
      <c r="A206" s="10" t="s">
        <v>593</v>
      </c>
      <c r="B206" s="25" t="n">
        <f aca="false">Historicals!$B$89+Inputs!$B$17</f>
        <v>3.967329173</v>
      </c>
    </row>
    <row r="207" customFormat="false" ht="15" hidden="false" customHeight="false" outlineLevel="0" collapsed="false">
      <c r="A207" s="10" t="s">
        <v>594</v>
      </c>
      <c r="B207" s="32" t="n">
        <f aca="false">IFERROR(($B$205-$B$162*(1-Inputs!$B$70))/$B$206,0)</f>
        <v>363.325890269919</v>
      </c>
    </row>
    <row r="208" customFormat="false" ht="15" hidden="false" customHeight="false" outlineLevel="0" collapsed="false">
      <c r="A208" s="10" t="s">
        <v>595</v>
      </c>
      <c r="B208" s="25" t="n">
        <f aca="false">IF($B$207&gt;0,$B$162/($B$207*(1-Inputs!$B$71)),0)</f>
        <v>0</v>
      </c>
    </row>
    <row r="209" customFormat="false" ht="15" hidden="false" customHeight="false" outlineLevel="0" collapsed="false">
      <c r="A209" s="10" t="s">
        <v>596</v>
      </c>
      <c r="B209" s="32" t="n">
        <f aca="false">IFERROR($B$205/($B$206+$B$208),0)</f>
        <v>363.325890269919</v>
      </c>
    </row>
    <row r="210" customFormat="false" ht="15" hidden="false" customHeight="false" outlineLevel="0" collapsed="false">
      <c r="A210" s="10" t="s">
        <v>597</v>
      </c>
      <c r="B210" s="47" t="n">
        <f aca="false">SUMPRODUCT($C$162:$F$162,$C$527:$F$527)</f>
        <v>0</v>
      </c>
    </row>
    <row r="211" customFormat="false" ht="15" hidden="false" customHeight="false" outlineLevel="0" collapsed="false">
      <c r="A211" s="10" t="s">
        <v>598</v>
      </c>
      <c r="B211" s="25" t="n">
        <f aca="false">IF($B$209&gt;0,$B$208+$B$210/($B$209*(1-Inputs!$B$71)),0)</f>
        <v>0</v>
      </c>
    </row>
    <row r="212" customFormat="false" ht="15" hidden="false" customHeight="false" outlineLevel="0" collapsed="false">
      <c r="A212" s="13" t="s">
        <v>599</v>
      </c>
      <c r="B212" s="15" t="n">
        <f aca="false">IFERROR(($B$205+$B$210)/($B$206+$B$211),0)</f>
        <v>363.325890269919</v>
      </c>
    </row>
    <row r="213" customFormat="false" ht="15" hidden="false" customHeight="false" outlineLevel="0" collapsed="false">
      <c r="A213" s="10" t="s">
        <v>600</v>
      </c>
      <c r="B213" s="49" t="str">
        <f aca="false">IF($F$170&gt;Inputs!$B$73,"Not meaningful: funding need above limit",IF(OR($B$174&lt;=0,$B$179&lt;=0),"Not meaningful: 2030 profit or cash flow negative",IF(OR($B$178&lt;=0,$B$182&lt;=0),"Not meaningful: a method gives zero or negative value",IF($B$205&lt;=0,"Not meaningful: value at or below zero","OK"))))</f>
        <v>OK</v>
      </c>
    </row>
    <row r="214" customFormat="false" ht="15" hidden="false" customHeight="false" outlineLevel="0" collapsed="false">
      <c r="A214" s="13" t="s">
        <v>601</v>
      </c>
      <c r="B214" s="15" t="n">
        <f aca="false">IF($B$213="OK",$B$212,"unresolved")</f>
        <v>363.325890269919</v>
      </c>
    </row>
    <row r="215" customFormat="false" ht="15" hidden="false" customHeight="false" outlineLevel="0" collapsed="false">
      <c r="A215" s="10" t="s">
        <v>602</v>
      </c>
      <c r="B215" s="47" t="n">
        <f aca="false">IF(ISNUMBER($B$214),$B$214*$B$206,"unresolved")</f>
        <v>1441.43340377405</v>
      </c>
    </row>
    <row r="216" customFormat="false" ht="15" hidden="false" customHeight="false" outlineLevel="0" collapsed="false">
      <c r="A216" s="10" t="s">
        <v>603</v>
      </c>
      <c r="B216" s="47" t="n">
        <f aca="false">IFERROR($B$205-$B$162*(1-Inputs!$B$70)-$B$215,"n/a")</f>
        <v>0</v>
      </c>
    </row>
    <row r="218" customFormat="false" ht="15" hidden="false" customHeight="false" outlineLevel="0" collapsed="false">
      <c r="A218" s="8" t="s">
        <v>619</v>
      </c>
      <c r="B218" s="9" t="s">
        <v>495</v>
      </c>
      <c r="C218" s="9" t="s">
        <v>496</v>
      </c>
      <c r="D218" s="9" t="s">
        <v>497</v>
      </c>
      <c r="E218" s="9" t="s">
        <v>498</v>
      </c>
      <c r="F218" s="9" t="s">
        <v>499</v>
      </c>
    </row>
    <row r="219" customFormat="false" ht="15" hidden="false" customHeight="false" outlineLevel="0" collapsed="false">
      <c r="A219" s="10" t="s">
        <v>620</v>
      </c>
      <c r="C219" s="47" t="n">
        <f aca="false">IFERROR(C128*C118/C119,0)</f>
        <v>0.20359222199695</v>
      </c>
      <c r="D219" s="47" t="n">
        <f aca="false">IFERROR(D128*D118/D119,0)</f>
        <v>0.839001431658218</v>
      </c>
      <c r="E219" s="47" t="n">
        <f aca="false">IFERROR(E128*E118/E119,0)</f>
        <v>2.35012980211648</v>
      </c>
      <c r="F219" s="47" t="n">
        <f aca="false">IFERROR(F128*F118/F119,0)</f>
        <v>4.91206949776831</v>
      </c>
    </row>
    <row r="220" customFormat="false" ht="15" hidden="false" customHeight="false" outlineLevel="0" collapsed="false">
      <c r="A220" s="10" t="s">
        <v>621</v>
      </c>
      <c r="C220" s="47" t="n">
        <f aca="false">C124-C118*Inputs!$D$148-C219</f>
        <v>0.00640777800305023</v>
      </c>
      <c r="D220" s="47" t="n">
        <f aca="false">D124-D118*Inputs!$D$148-D219</f>
        <v>1.80099856834178</v>
      </c>
      <c r="E220" s="47" t="n">
        <f aca="false">E124-E118*Inputs!$D$148-E219</f>
        <v>10.5998701978835</v>
      </c>
      <c r="F220" s="47" t="n">
        <f aca="false">F124-F118*Inputs!$D$148-F219</f>
        <v>36.6879305022317</v>
      </c>
    </row>
    <row r="221" customFormat="false" ht="15" hidden="false" customHeight="false" outlineLevel="0" collapsed="false">
      <c r="A221" s="10" t="s">
        <v>622</v>
      </c>
      <c r="C221" s="47" t="n">
        <f aca="false">C220*(1-Inputs!$B$79)</f>
        <v>0.00485965883751329</v>
      </c>
      <c r="D221" s="47" t="n">
        <f aca="false">D220*(1-Inputs!$B$79)</f>
        <v>1.36587731423041</v>
      </c>
      <c r="E221" s="47" t="n">
        <f aca="false">E220*(1-Inputs!$B$79)</f>
        <v>8.03894155807486</v>
      </c>
      <c r="F221" s="47" t="n">
        <f aca="false">F220*(1-Inputs!$B$79)</f>
        <v>27.8241264928925</v>
      </c>
    </row>
    <row r="222" customFormat="false" ht="15" hidden="false" customHeight="false" outlineLevel="0" collapsed="false">
      <c r="A222" s="10" t="s">
        <v>623</v>
      </c>
      <c r="C222" s="47" t="n">
        <f aca="false">C221+C219-C118*(Inputs!$D$149+(Inputs!$D$150-Inputs!$D$149)*0/3)</f>
        <v>-0.391548119165537</v>
      </c>
      <c r="D222" s="47" t="n">
        <f aca="false">D221+D219-D118*(Inputs!$D$149+(Inputs!$D$150-Inputs!$D$149)*1/3)</f>
        <v>0.0448787458886253</v>
      </c>
      <c r="E222" s="47" t="n">
        <f aca="false">E221+E219-E118*(Inputs!$D$149+(Inputs!$D$150-Inputs!$D$149)*2/3)</f>
        <v>4.78907136019134</v>
      </c>
      <c r="F222" s="47" t="n">
        <f aca="false">F221+F219-F118*(Inputs!$D$149+(Inputs!$D$150-Inputs!$D$149)*3/3)</f>
        <v>21.5361959906608</v>
      </c>
    </row>
    <row r="223" customFormat="false" ht="15" hidden="false" customHeight="false" outlineLevel="0" collapsed="false">
      <c r="A223" s="10" t="s">
        <v>624</v>
      </c>
      <c r="B223" s="47" t="n">
        <f aca="false">Inputs!$B$7*(SUMPRODUCT($C$222:$F$222,$C$527:$F$527)+$F$221*$B$175*$F$527)+(1-Inputs!$B$7)*(SUMPRODUCT($C$222:$F$222,$C$527:$F$527)+$F$222*$B$180*$F$527)</f>
        <v>907.707808836189</v>
      </c>
    </row>
    <row r="225" customFormat="false" ht="15" hidden="false" customHeight="false" outlineLevel="0" collapsed="false">
      <c r="A225" s="8" t="s">
        <v>625</v>
      </c>
      <c r="B225" s="9" t="s">
        <v>495</v>
      </c>
      <c r="C225" s="9" t="s">
        <v>496</v>
      </c>
      <c r="D225" s="9" t="s">
        <v>497</v>
      </c>
      <c r="E225" s="9" t="s">
        <v>498</v>
      </c>
      <c r="F225" s="9" t="s">
        <v>499</v>
      </c>
    </row>
    <row r="226" customFormat="false" ht="15" hidden="false" customHeight="false" outlineLevel="0" collapsed="false">
      <c r="A226" s="10" t="s">
        <v>605</v>
      </c>
      <c r="B226" s="47" t="n">
        <f aca="false">Historicals!$C$73+Inputs!$D$120</f>
        <v>79.81</v>
      </c>
      <c r="C226" s="47" t="n">
        <f aca="false">B226*(1+Inputs!$D$124)</f>
        <v>86.1948</v>
      </c>
      <c r="D226" s="47" t="n">
        <f aca="false">C226*(1+Inputs!$D$125)</f>
        <v>94.81428</v>
      </c>
      <c r="E226" s="47" t="n">
        <f aca="false">D226*(1+Inputs!$D$126)</f>
        <v>104.295708</v>
      </c>
      <c r="F226" s="47" t="n">
        <f aca="false">E226*(1+Inputs!$D$127)</f>
        <v>114.7252788</v>
      </c>
    </row>
    <row r="227" customFormat="false" ht="15" hidden="false" customHeight="false" outlineLevel="0" collapsed="false">
      <c r="A227" s="10" t="s">
        <v>606</v>
      </c>
      <c r="B227" s="47" t="n">
        <f aca="false">Historicals!$C$74+Inputs!$D$121</f>
        <v>12.128</v>
      </c>
      <c r="C227" s="47" t="n">
        <f aca="false">B227*(1+Inputs!$D$128)</f>
        <v>15.7664</v>
      </c>
      <c r="D227" s="47" t="n">
        <f aca="false">C227*(1+Inputs!$D$129)</f>
        <v>20.49632</v>
      </c>
      <c r="E227" s="47" t="n">
        <f aca="false">D227*(1+Inputs!$D$130)</f>
        <v>26.645216</v>
      </c>
      <c r="F227" s="47" t="n">
        <f aca="false">E227*(1+Inputs!$D$131)</f>
        <v>34.6387808</v>
      </c>
    </row>
    <row r="228" customFormat="false" ht="15" hidden="false" customHeight="false" outlineLevel="0" collapsed="false">
      <c r="A228" s="10" t="s">
        <v>607</v>
      </c>
      <c r="B228" s="47" t="n">
        <f aca="false">Historicals!$C$75+Inputs!$D$122</f>
        <v>18.031</v>
      </c>
      <c r="C228" s="47" t="n">
        <f aca="false">B228*(1+Inputs!$D$132)</f>
        <v>22.53875</v>
      </c>
      <c r="D228" s="47" t="n">
        <f aca="false">C228*(1+Inputs!$D$133)</f>
        <v>28.1734375</v>
      </c>
      <c r="E228" s="47" t="n">
        <f aca="false">D228*(1+Inputs!$D$134)</f>
        <v>35.216796875</v>
      </c>
      <c r="F228" s="47" t="n">
        <f aca="false">E228*(1+Inputs!$D$135)</f>
        <v>44.02099609375</v>
      </c>
    </row>
    <row r="229" customFormat="false" ht="15" hidden="false" customHeight="false" outlineLevel="0" collapsed="false">
      <c r="A229" s="10" t="s">
        <v>608</v>
      </c>
      <c r="B229" s="26" t="n">
        <v>0</v>
      </c>
      <c r="C229" s="47" t="n">
        <f aca="false">0*Inputs!$D$136</f>
        <v>0</v>
      </c>
      <c r="D229" s="47" t="n">
        <f aca="false">0*Inputs!$D$137</f>
        <v>0</v>
      </c>
      <c r="E229" s="47" t="n">
        <f aca="false">0*Inputs!$D$138</f>
        <v>0</v>
      </c>
      <c r="F229" s="47" t="n">
        <f aca="false">0*Inputs!$D$139</f>
        <v>0</v>
      </c>
    </row>
    <row r="230" customFormat="false" ht="15" hidden="false" customHeight="false" outlineLevel="0" collapsed="false">
      <c r="A230" s="13" t="s">
        <v>108</v>
      </c>
      <c r="B230" s="18" t="n">
        <f aca="false">B226+B227+B228+B229</f>
        <v>109.969</v>
      </c>
      <c r="C230" s="18" t="n">
        <f aca="false">C226+C227+C228+C229</f>
        <v>124.49995</v>
      </c>
      <c r="D230" s="18" t="n">
        <f aca="false">D226+D227+D228+D229</f>
        <v>143.4840375</v>
      </c>
      <c r="E230" s="18" t="n">
        <f aca="false">E226+E227+E228+E229</f>
        <v>166.157720875</v>
      </c>
      <c r="F230" s="18" t="n">
        <f aca="false">F226+F227+F228+F229</f>
        <v>193.38505569375</v>
      </c>
    </row>
    <row r="231" customFormat="false" ht="15" hidden="false" customHeight="false" outlineLevel="0" collapsed="false">
      <c r="A231" s="10" t="s">
        <v>501</v>
      </c>
      <c r="C231" s="19" t="n">
        <f aca="false">IFERROR(C230/B230-1,0)</f>
        <v>0.132136784002765</v>
      </c>
      <c r="D231" s="19" t="n">
        <f aca="false">IFERROR(D230/C230-1,0)</f>
        <v>0.152482691760117</v>
      </c>
      <c r="E231" s="19" t="n">
        <f aca="false">IFERROR(E230/D230-1,0)</f>
        <v>0.158022340115708</v>
      </c>
      <c r="F231" s="19" t="n">
        <f aca="false">IFERROR(F230/E230-1,0)</f>
        <v>0.163864397485526</v>
      </c>
    </row>
    <row r="232" customFormat="false" ht="15" hidden="false" customHeight="false" outlineLevel="0" collapsed="false">
      <c r="A232" s="10" t="s">
        <v>609</v>
      </c>
      <c r="C232" s="47" t="n">
        <f aca="false">C226*(Inputs!$D$140+(Inputs!$D$141-Inputs!$D$140)*0/3)</f>
        <v>12.92922</v>
      </c>
      <c r="D232" s="47" t="n">
        <f aca="false">D226*(Inputs!$D$140+(Inputs!$D$141-Inputs!$D$140)*1/3)</f>
        <v>15.80238</v>
      </c>
      <c r="E232" s="47" t="n">
        <f aca="false">E226*(Inputs!$D$140+(Inputs!$D$141-Inputs!$D$140)*2/3)</f>
        <v>19.1208798</v>
      </c>
      <c r="F232" s="47" t="n">
        <f aca="false">F226*(Inputs!$D$140+(Inputs!$D$141-Inputs!$D$140)*3/3)</f>
        <v>22.94505576</v>
      </c>
    </row>
    <row r="233" customFormat="false" ht="15" hidden="false" customHeight="false" outlineLevel="0" collapsed="false">
      <c r="A233" s="10" t="s">
        <v>610</v>
      </c>
      <c r="C233" s="47" t="n">
        <f aca="false">C227*(Inputs!$D$142+(Inputs!$D$143-Inputs!$D$142)*0/3)</f>
        <v>4.887584</v>
      </c>
      <c r="D233" s="47" t="n">
        <f aca="false">D227*(Inputs!$D$142+(Inputs!$D$143-Inputs!$D$142)*1/3)</f>
        <v>6.69546453333333</v>
      </c>
      <c r="E233" s="47" t="n">
        <f aca="false">E227*(Inputs!$D$142+(Inputs!$D$143-Inputs!$D$142)*2/3)</f>
        <v>9.14819082666667</v>
      </c>
      <c r="F233" s="47" t="n">
        <f aca="false">F227*(Inputs!$D$142+(Inputs!$D$143-Inputs!$D$142)*3/3)</f>
        <v>12.469961088</v>
      </c>
    </row>
    <row r="234" customFormat="false" ht="15" hidden="false" customHeight="false" outlineLevel="0" collapsed="false">
      <c r="A234" s="10" t="s">
        <v>611</v>
      </c>
      <c r="C234" s="47" t="n">
        <f aca="false">C228*(Inputs!$D$144+(Inputs!$D$145-Inputs!$D$144)*0/3)</f>
        <v>5.1839125</v>
      </c>
      <c r="D234" s="47" t="n">
        <f aca="false">D228*(Inputs!$D$144+(Inputs!$D$145-Inputs!$D$144)*1/3)</f>
        <v>6.761625</v>
      </c>
      <c r="E234" s="47" t="n">
        <f aca="false">E228*(Inputs!$D$144+(Inputs!$D$145-Inputs!$D$144)*2/3)</f>
        <v>8.80419921875</v>
      </c>
      <c r="F234" s="47" t="n">
        <f aca="false">F228*(Inputs!$D$144+(Inputs!$D$145-Inputs!$D$144)*3/3)</f>
        <v>11.445458984375</v>
      </c>
    </row>
    <row r="235" customFormat="false" ht="15" hidden="false" customHeight="false" outlineLevel="0" collapsed="false">
      <c r="A235" s="10" t="s">
        <v>612</v>
      </c>
      <c r="C235" s="47" t="n">
        <f aca="false">C229*(Inputs!$D$146+(Inputs!$D$147-Inputs!$D$146)*0/3)</f>
        <v>0</v>
      </c>
      <c r="D235" s="47" t="n">
        <f aca="false">D229*(Inputs!$D$146+(Inputs!$D$147-Inputs!$D$146)*1/3)</f>
        <v>0</v>
      </c>
      <c r="E235" s="47" t="n">
        <f aca="false">E229*(Inputs!$D$146+(Inputs!$D$147-Inputs!$D$146)*2/3)</f>
        <v>0</v>
      </c>
      <c r="F235" s="47" t="n">
        <f aca="false">F229*(Inputs!$D$146+(Inputs!$D$147-Inputs!$D$146)*3/3)</f>
        <v>0</v>
      </c>
    </row>
    <row r="236" customFormat="false" ht="15" hidden="false" customHeight="false" outlineLevel="0" collapsed="false">
      <c r="A236" s="10" t="s">
        <v>505</v>
      </c>
      <c r="C236" s="47" t="n">
        <f aca="false">C232+C233+C234+C235</f>
        <v>23.0007165</v>
      </c>
      <c r="D236" s="47" t="n">
        <f aca="false">D232+D233+D234+D235</f>
        <v>29.2594695333333</v>
      </c>
      <c r="E236" s="47" t="n">
        <f aca="false">E232+E233+E234+E235</f>
        <v>37.0732698454167</v>
      </c>
      <c r="F236" s="47" t="n">
        <f aca="false">F232+F233+F234+F235</f>
        <v>46.860475832375</v>
      </c>
    </row>
    <row r="237" customFormat="false" ht="15" hidden="false" customHeight="false" outlineLevel="0" collapsed="false">
      <c r="A237" s="10" t="s">
        <v>613</v>
      </c>
      <c r="B237" s="47" t="n">
        <f aca="false">(Inputs!$D$120+Inputs!$D$121+Inputs!$D$122)*Inputs!$D$148</f>
        <v>1.252</v>
      </c>
      <c r="C237" s="47" t="n">
        <f aca="false">C230*Inputs!$D$148</f>
        <v>4.979998</v>
      </c>
      <c r="D237" s="47" t="n">
        <f aca="false">D230*Inputs!$D$148</f>
        <v>5.7393615</v>
      </c>
      <c r="E237" s="47" t="n">
        <f aca="false">E230*Inputs!$D$148</f>
        <v>6.646308835</v>
      </c>
      <c r="F237" s="47" t="n">
        <f aca="false">F230*Inputs!$D$148</f>
        <v>7.73540222775</v>
      </c>
    </row>
    <row r="238" customFormat="false" ht="15" hidden="false" customHeight="false" outlineLevel="0" collapsed="false">
      <c r="A238" s="10" t="s">
        <v>614</v>
      </c>
      <c r="B238" s="26" t="n">
        <v>0</v>
      </c>
      <c r="C238" s="26" t="n">
        <v>0</v>
      </c>
      <c r="D238" s="26" t="n">
        <v>0</v>
      </c>
      <c r="E238" s="26" t="n">
        <v>0</v>
      </c>
      <c r="F238" s="26" t="n">
        <v>0</v>
      </c>
    </row>
    <row r="239" customFormat="false" ht="15" hidden="false" customHeight="false" outlineLevel="0" collapsed="false">
      <c r="A239" s="10" t="s">
        <v>615</v>
      </c>
      <c r="B239" s="47" t="n">
        <f aca="false">Historicals!$C$76+Inputs!$B$53/4</f>
        <v>6.748</v>
      </c>
      <c r="C239" s="47" t="n">
        <f aca="false">Inputs!$B$53*MAX(0,MIN(1,(Inputs!$B$57-1+0.5)/Inputs!$B$57))+$B243*IF(1&lt;=Inputs!$B$49,1,0)/Inputs!$B$49+C242*0.5/Inputs!$B$49</f>
        <v>8.61516604166667</v>
      </c>
      <c r="D239" s="47" t="n">
        <f aca="false">Inputs!$B$53*MAX(0,MIN(1,(Inputs!$B$57-2+0.5)/Inputs!$B$57))+$B243*IF(2&lt;=Inputs!$B$49,1,0)/Inputs!$B$49+C242*IF(1&lt;=Inputs!$B$49-1,1,IF(1=Inputs!$B$49,0.5,0))/Inputs!$B$49+D242*0.5/Inputs!$B$49</f>
        <v>10.660944171875</v>
      </c>
      <c r="E239" s="47" t="n">
        <f aca="false">Inputs!$B$53*MAX(0,MIN(1,(Inputs!$B$57-3+0.5)/Inputs!$B$57))+$B243*IF(3&lt;=Inputs!$B$49,1,0)/Inputs!$B$49+C242*IF(2&lt;=Inputs!$B$49-1,1,IF(2=Inputs!$B$49,0.5,0))/Inputs!$B$49+D242*IF(1&lt;=Inputs!$B$49-1,1,IF(1=Inputs!$B$49,0.5,0))/Inputs!$B$49+E242*0.5/Inputs!$B$49</f>
        <v>12.8120501358333</v>
      </c>
      <c r="F239" s="47" t="n">
        <f aca="false">Inputs!$B$53*MAX(0,MIN(1,(Inputs!$B$57-4+0.5)/Inputs!$B$57))+$B243*IF(4&lt;=Inputs!$B$49,1,0)/Inputs!$B$49+C242*IF(3&lt;=Inputs!$B$49-1,1,IF(3=Inputs!$B$49,0.5,0))/Inputs!$B$49+D242*IF(2&lt;=Inputs!$B$49-1,1,IF(2=Inputs!$B$49,0.5,0))/Inputs!$B$49+E242*IF(1&lt;=Inputs!$B$49-1,1,IF(1=Inputs!$B$49,0.5,0))/Inputs!$B$49+F242*0.5/Inputs!$B$49</f>
        <v>15.041079915237</v>
      </c>
    </row>
    <row r="240" customFormat="false" ht="15" hidden="false" customHeight="false" outlineLevel="0" collapsed="false">
      <c r="A240" s="13" t="s">
        <v>513</v>
      </c>
      <c r="B240" s="18" t="n">
        <f aca="false">Historicals!$C$72+(Inputs!$D$120+Inputs!$D$121+Inputs!$D$122)*Inputs!$D$123</f>
        <v>3.4655</v>
      </c>
      <c r="C240" s="18" t="n">
        <f aca="false">C236-C237-C239</f>
        <v>9.40555245833333</v>
      </c>
      <c r="D240" s="18" t="n">
        <f aca="false">D236-D237-D239</f>
        <v>12.8591638614583</v>
      </c>
      <c r="E240" s="18" t="n">
        <f aca="false">E236-E237-E239</f>
        <v>17.6149108745833</v>
      </c>
      <c r="F240" s="18" t="n">
        <f aca="false">F236-F237-F239</f>
        <v>24.083993689388</v>
      </c>
    </row>
    <row r="241" customFormat="false" ht="15" hidden="false" customHeight="false" outlineLevel="0" collapsed="false">
      <c r="A241" s="10" t="s">
        <v>514</v>
      </c>
      <c r="B241" s="19" t="n">
        <f aca="false">IFERROR(B240/B230,0)</f>
        <v>0.0315134265111077</v>
      </c>
      <c r="C241" s="19" t="n">
        <f aca="false">IFERROR(C240/C230,0)</f>
        <v>0.0755466364310454</v>
      </c>
      <c r="D241" s="19" t="n">
        <f aca="false">IFERROR(D240/D230,0)</f>
        <v>0.0896208671397216</v>
      </c>
      <c r="E241" s="19" t="n">
        <f aca="false">IFERROR(E240/E230,0)</f>
        <v>0.106013195064435</v>
      </c>
      <c r="F241" s="19" t="n">
        <f aca="false">IFERROR(F240/F230,0)</f>
        <v>0.124539063284849</v>
      </c>
    </row>
    <row r="242" customFormat="false" ht="15" hidden="false" customHeight="false" outlineLevel="0" collapsed="false">
      <c r="A242" s="10" t="s">
        <v>616</v>
      </c>
      <c r="B242" s="47" t="n">
        <f aca="false">Inputs!$B$58</f>
        <v>20</v>
      </c>
      <c r="C242" s="47" t="n">
        <f aca="false">C230*(Inputs!$D$149+(Inputs!$D$150-Inputs!$D$149)*0/3)</f>
        <v>24.89999</v>
      </c>
      <c r="D242" s="47" t="n">
        <f aca="false">D230*(Inputs!$D$149+(Inputs!$D$150-Inputs!$D$149)*1/3)</f>
        <v>25.82712675</v>
      </c>
      <c r="E242" s="47" t="n">
        <f aca="false">E230*(Inputs!$D$149+(Inputs!$D$150-Inputs!$D$149)*2/3)</f>
        <v>26.58523534</v>
      </c>
      <c r="F242" s="47" t="n">
        <f aca="false">F230*(Inputs!$D$149+(Inputs!$D$150-Inputs!$D$149)*3/3)</f>
        <v>27.073907797125</v>
      </c>
    </row>
    <row r="243" customFormat="false" ht="15" hidden="false" customHeight="false" outlineLevel="0" collapsed="false">
      <c r="A243" s="10" t="s">
        <v>617</v>
      </c>
      <c r="B243" s="47" t="n">
        <f aca="false">Inputs!$B$58-Historicals!$C$78</f>
        <v>6.986</v>
      </c>
    </row>
    <row r="244" customFormat="false" ht="15" hidden="false" customHeight="false" outlineLevel="0" collapsed="false">
      <c r="A244" s="10" t="s">
        <v>618</v>
      </c>
      <c r="C244" s="48" t="n">
        <f aca="false">IFERROR(C242/C239,0)</f>
        <v>2.89025073684859</v>
      </c>
      <c r="D244" s="48" t="n">
        <f aca="false">IFERROR(D242/D239,0)</f>
        <v>2.42259281482173</v>
      </c>
      <c r="E244" s="48" t="n">
        <f aca="false">IFERROR(E242/E239,0)</f>
        <v>2.0750180539526</v>
      </c>
      <c r="F244" s="48" t="n">
        <f aca="false">IFERROR(F242/F239,0)</f>
        <v>1.79999760321056</v>
      </c>
    </row>
    <row r="245" customFormat="false" ht="15" hidden="false" customHeight="false" outlineLevel="0" collapsed="false">
      <c r="A245" s="10" t="s">
        <v>523</v>
      </c>
      <c r="B245" s="47" t="n">
        <f aca="false">B240-Inputs!$B$38*B242+Inputs!$B$38*B239</f>
        <v>-4.4857</v>
      </c>
      <c r="C245" s="47" t="n">
        <f aca="false">C240-Inputs!$B$38*C242+Inputs!$B$38*C239</f>
        <v>-0.365341916666666</v>
      </c>
      <c r="D245" s="47" t="n">
        <f aca="false">D240-Inputs!$B$38*D242+Inputs!$B$38*D239</f>
        <v>3.75945431458333</v>
      </c>
      <c r="E245" s="47" t="n">
        <f aca="false">E240-Inputs!$B$38*E242+Inputs!$B$38*E239</f>
        <v>9.35099975208334</v>
      </c>
      <c r="F245" s="47" t="n">
        <f aca="false">F240-Inputs!$B$38*F242+Inputs!$B$38*F239</f>
        <v>16.8642969602552</v>
      </c>
    </row>
    <row r="246" customFormat="false" ht="15" hidden="false" customHeight="false" outlineLevel="0" collapsed="false">
      <c r="A246" s="10" t="s">
        <v>524</v>
      </c>
      <c r="B246" s="47" t="n">
        <f aca="false">MIN(0,MAX(0,B245),1E+099)</f>
        <v>0</v>
      </c>
      <c r="C246" s="47" t="n">
        <f aca="false">MIN(B248,MAX(0,C245),1E+099)</f>
        <v>0</v>
      </c>
      <c r="D246" s="47" t="n">
        <f aca="false">MIN(C248,MAX(0,D245),1E+099)</f>
        <v>3.75945431458333</v>
      </c>
      <c r="E246" s="47" t="n">
        <f aca="false">MIN(D248,MAX(0,E245),1E+099)</f>
        <v>0.72624568541667</v>
      </c>
      <c r="F246" s="47" t="n">
        <f aca="false">MIN(E248,MAX(0,F245),1E+099)</f>
        <v>0</v>
      </c>
    </row>
    <row r="247" customFormat="false" ht="15" hidden="false" customHeight="false" outlineLevel="0" collapsed="false">
      <c r="A247" s="10" t="s">
        <v>525</v>
      </c>
      <c r="B247" s="47" t="n">
        <f aca="false">MIN(0,MAX(0,B245)-B246)</f>
        <v>0</v>
      </c>
      <c r="C247" s="47" t="n">
        <f aca="false">MIN(B249,MAX(0,C245)-C246)</f>
        <v>0</v>
      </c>
      <c r="D247" s="47" t="n">
        <f aca="false">MIN(C249,MAX(0,D245)-D246)</f>
        <v>0</v>
      </c>
      <c r="E247" s="47" t="n">
        <f aca="false">MIN(D249,MAX(0,E245)-E246)</f>
        <v>0.365341916666666</v>
      </c>
      <c r="F247" s="47" t="n">
        <f aca="false">MIN(E249,MAX(0,F245)-F246)</f>
        <v>0</v>
      </c>
    </row>
    <row r="248" customFormat="false" ht="15" hidden="false" customHeight="false" outlineLevel="0" collapsed="false">
      <c r="A248" s="10" t="s">
        <v>526</v>
      </c>
      <c r="B248" s="47" t="n">
        <f aca="false">0-B246+MAX(0,-B245)</f>
        <v>4.4857</v>
      </c>
      <c r="C248" s="47" t="n">
        <f aca="false">B248-C246</f>
        <v>4.4857</v>
      </c>
      <c r="D248" s="47" t="n">
        <f aca="false">C248-D246</f>
        <v>0.72624568541667</v>
      </c>
      <c r="E248" s="47" t="n">
        <f aca="false">D248-E246</f>
        <v>0</v>
      </c>
      <c r="F248" s="47" t="n">
        <f aca="false">E248-F246</f>
        <v>0</v>
      </c>
    </row>
    <row r="249" customFormat="false" ht="15" hidden="false" customHeight="false" outlineLevel="0" collapsed="false">
      <c r="A249" s="10" t="s">
        <v>527</v>
      </c>
      <c r="B249" s="26" t="n">
        <v>0</v>
      </c>
      <c r="C249" s="47" t="n">
        <f aca="false">B249-C247+MAX(0,-C245)</f>
        <v>0.365341916666666</v>
      </c>
      <c r="D249" s="47" t="n">
        <f aca="false">C249-D247+MAX(0,-D245)</f>
        <v>0.365341916666666</v>
      </c>
      <c r="E249" s="47" t="n">
        <f aca="false">D249-E247+MAX(0,-E245)</f>
        <v>0</v>
      </c>
      <c r="F249" s="47" t="n">
        <f aca="false">E249-F247+MAX(0,-F245)</f>
        <v>0</v>
      </c>
    </row>
    <row r="250" customFormat="false" ht="15" hidden="false" customHeight="false" outlineLevel="0" collapsed="false">
      <c r="A250" s="10" t="s">
        <v>528</v>
      </c>
      <c r="B250" s="47" t="n">
        <f aca="false">MAX(0,B245-B246-B247)*Inputs!$B$34</f>
        <v>0</v>
      </c>
      <c r="C250" s="47" t="n">
        <f aca="false">MAX(0,C245-C246-C247)*Inputs!$B$34</f>
        <v>0</v>
      </c>
      <c r="D250" s="47" t="n">
        <f aca="false">MAX(0,D245-D246-D247)*Inputs!$B$34</f>
        <v>0</v>
      </c>
      <c r="E250" s="47" t="n">
        <f aca="false">MAX(0,E245-E246-E247)*Inputs!$B$34</f>
        <v>0.330376486</v>
      </c>
      <c r="F250" s="47" t="n">
        <f aca="false">MAX(0,F245-F246-F247)*Inputs!$B$34</f>
        <v>0.674571878410208</v>
      </c>
    </row>
    <row r="251" customFormat="false" ht="15" hidden="false" customHeight="false" outlineLevel="0" collapsed="false">
      <c r="A251" s="10" t="s">
        <v>529</v>
      </c>
      <c r="B251" s="47" t="n">
        <f aca="false">B245-B250</f>
        <v>-4.4857</v>
      </c>
      <c r="C251" s="47" t="n">
        <f aca="false">C245-C250</f>
        <v>-0.365341916666666</v>
      </c>
      <c r="D251" s="47" t="n">
        <f aca="false">D245-D250</f>
        <v>3.75945431458333</v>
      </c>
      <c r="E251" s="47" t="n">
        <f aca="false">E245-E250</f>
        <v>9.02062326608334</v>
      </c>
      <c r="F251" s="47" t="n">
        <f aca="false">F245-F250</f>
        <v>16.189725081845</v>
      </c>
    </row>
    <row r="252" customFormat="false" ht="15" hidden="false" customHeight="false" outlineLevel="0" collapsed="false">
      <c r="A252" s="10" t="s">
        <v>530</v>
      </c>
      <c r="B252" s="47" t="n">
        <f aca="false">MIN(Inputs!$B$39,Inputs!$B$35*MAX(0,B251),1E+099)</f>
        <v>0</v>
      </c>
      <c r="C252" s="47" t="n">
        <f aca="false">MIN(B254,Inputs!$B$35*MAX(0,C251),1E+099)</f>
        <v>0</v>
      </c>
      <c r="D252" s="47" t="n">
        <f aca="false">MIN(C254,Inputs!$B$35*MAX(0,D251),1E+099)</f>
        <v>3.00756345166667</v>
      </c>
      <c r="E252" s="47" t="n">
        <f aca="false">MIN(D254,Inputs!$B$35*MAX(0,E251),1E+099)</f>
        <v>1.47813654833334</v>
      </c>
      <c r="F252" s="47" t="n">
        <f aca="false">MIN(E254,Inputs!$B$35*MAX(0,F251),1E+099)</f>
        <v>0</v>
      </c>
    </row>
    <row r="253" customFormat="false" ht="15" hidden="false" customHeight="false" outlineLevel="0" collapsed="false">
      <c r="A253" s="10" t="s">
        <v>531</v>
      </c>
      <c r="B253" s="47" t="n">
        <f aca="false">MIN(0,Inputs!$B$35*MAX(0,B251)-B252)</f>
        <v>0</v>
      </c>
      <c r="C253" s="47" t="n">
        <f aca="false">MIN(B255,Inputs!$B$35*MAX(0,C251)-C252)</f>
        <v>0</v>
      </c>
      <c r="D253" s="47" t="n">
        <f aca="false">MIN(C255,Inputs!$B$35*MAX(0,D251)-D252)</f>
        <v>0</v>
      </c>
      <c r="E253" s="47" t="n">
        <f aca="false">MIN(D255,Inputs!$B$35*MAX(0,E251)-E252)</f>
        <v>0.365341916666666</v>
      </c>
      <c r="F253" s="47" t="n">
        <f aca="false">MIN(E255,Inputs!$B$35*MAX(0,F251)-F252)</f>
        <v>0</v>
      </c>
    </row>
    <row r="254" customFormat="false" ht="15" hidden="false" customHeight="false" outlineLevel="0" collapsed="false">
      <c r="A254" s="10" t="s">
        <v>532</v>
      </c>
      <c r="B254" s="47" t="n">
        <f aca="false">Inputs!$B$39-B252+MAX(0,-B251)</f>
        <v>4.4857</v>
      </c>
      <c r="C254" s="47" t="n">
        <f aca="false">B254-C252</f>
        <v>4.4857</v>
      </c>
      <c r="D254" s="47" t="n">
        <f aca="false">C254-D252</f>
        <v>1.47813654833334</v>
      </c>
      <c r="E254" s="47" t="n">
        <f aca="false">D254-E252</f>
        <v>0</v>
      </c>
      <c r="F254" s="47" t="n">
        <f aca="false">E254-F252</f>
        <v>0</v>
      </c>
    </row>
    <row r="255" customFormat="false" ht="15" hidden="false" customHeight="false" outlineLevel="0" collapsed="false">
      <c r="A255" s="10" t="s">
        <v>533</v>
      </c>
      <c r="B255" s="26" t="n">
        <v>0</v>
      </c>
      <c r="C255" s="47" t="n">
        <f aca="false">B255-C253+MAX(0,-C251)</f>
        <v>0.365341916666666</v>
      </c>
      <c r="D255" s="47" t="n">
        <f aca="false">C255-D253+MAX(0,-D251)</f>
        <v>0.365341916666666</v>
      </c>
      <c r="E255" s="47" t="n">
        <f aca="false">D255-E253+MAX(0,-E251)</f>
        <v>0</v>
      </c>
      <c r="F255" s="47" t="n">
        <f aca="false">E255-F253+MAX(0,-F251)</f>
        <v>0</v>
      </c>
    </row>
    <row r="256" customFormat="false" ht="15" hidden="false" customHeight="false" outlineLevel="0" collapsed="false">
      <c r="A256" s="10" t="s">
        <v>534</v>
      </c>
      <c r="B256" s="47" t="n">
        <f aca="false">MAX(0,B251-B252-B253)*Inputs!$B$33</f>
        <v>0</v>
      </c>
      <c r="C256" s="47" t="n">
        <f aca="false">MAX(0,C251-C252-C253)*Inputs!$B$33</f>
        <v>0</v>
      </c>
      <c r="D256" s="47" t="n">
        <f aca="false">MAX(0,D251-D252-D253)*Inputs!$B$33</f>
        <v>0.1578970812125</v>
      </c>
      <c r="E256" s="47" t="n">
        <f aca="false">MAX(0,E251-E252-E253)*Inputs!$B$33</f>
        <v>1.5072004082275</v>
      </c>
      <c r="F256" s="47" t="n">
        <f aca="false">MAX(0,F251-F252-F253)*Inputs!$B$33</f>
        <v>3.39984226718745</v>
      </c>
    </row>
    <row r="257" customFormat="false" ht="15" hidden="false" customHeight="false" outlineLevel="0" collapsed="false">
      <c r="A257" s="10" t="s">
        <v>535</v>
      </c>
      <c r="B257" s="47" t="n">
        <f aca="false">MIN(0,B256,MAX(0,1E+099-B252)*Inputs!$B$33)</f>
        <v>0</v>
      </c>
      <c r="C257" s="47" t="n">
        <f aca="false">MIN(B258,C256,MAX(0,1E+099-C252)*Inputs!$B$33)</f>
        <v>0</v>
      </c>
      <c r="D257" s="47" t="n">
        <f aca="false">MIN(C258,D256,MAX(0,1E+099-D252)*Inputs!$B$33)</f>
        <v>0</v>
      </c>
      <c r="E257" s="47" t="n">
        <f aca="false">MIN(D258,E256,MAX(0,1E+099-E252)*Inputs!$B$33)</f>
        <v>0</v>
      </c>
      <c r="F257" s="47" t="n">
        <f aca="false">MIN(E258,F256,MAX(0,1E+099-F252)*Inputs!$B$33)</f>
        <v>0</v>
      </c>
    </row>
    <row r="258" customFormat="false" ht="15" hidden="false" customHeight="false" outlineLevel="0" collapsed="false">
      <c r="A258" s="10" t="s">
        <v>536</v>
      </c>
      <c r="B258" s="47" t="n">
        <f aca="false">0-B257</f>
        <v>0</v>
      </c>
      <c r="C258" s="47" t="n">
        <f aca="false">B258-C257</f>
        <v>0</v>
      </c>
      <c r="D258" s="47" t="n">
        <f aca="false">C258-D257</f>
        <v>0</v>
      </c>
      <c r="E258" s="47" t="n">
        <f aca="false">D258-E257</f>
        <v>0</v>
      </c>
      <c r="F258" s="47" t="n">
        <f aca="false">E258-F257</f>
        <v>0</v>
      </c>
    </row>
    <row r="259" customFormat="false" ht="15" hidden="false" customHeight="false" outlineLevel="0" collapsed="false">
      <c r="A259" s="13" t="s">
        <v>537</v>
      </c>
      <c r="B259" s="18" t="n">
        <f aca="false">MAX(0,(Inputs!$D$120+Inputs!$D$121+Inputs!$D$122)*Inputs!$D$123)*Inputs!$B$41</f>
        <v>0.211275</v>
      </c>
      <c r="C259" s="18" t="n">
        <f aca="false">C256-C257+C250</f>
        <v>0</v>
      </c>
      <c r="D259" s="18" t="n">
        <f aca="false">D256-D257+D250</f>
        <v>0.1578970812125</v>
      </c>
      <c r="E259" s="18" t="n">
        <f aca="false">E256-E257+E250</f>
        <v>1.8375768942275</v>
      </c>
      <c r="F259" s="18" t="n">
        <f aca="false">F256-F257+F250</f>
        <v>4.07441414559766</v>
      </c>
    </row>
    <row r="260" customFormat="false" ht="15" hidden="false" customHeight="false" outlineLevel="0" collapsed="false">
      <c r="A260" s="10" t="s">
        <v>538</v>
      </c>
      <c r="B260" s="47" t="n">
        <f aca="false">0+Inputs!$B$38*(B242-B239)</f>
        <v>7.9512</v>
      </c>
      <c r="C260" s="47" t="n">
        <f aca="false">B260+Inputs!$B$38*(C242-C239)</f>
        <v>17.722094375</v>
      </c>
      <c r="D260" s="47" t="n">
        <f aca="false">C260+Inputs!$B$38*(D242-D239)</f>
        <v>26.821803921875</v>
      </c>
      <c r="E260" s="47" t="n">
        <f aca="false">D260+Inputs!$B$38*(E242-E239)</f>
        <v>35.085715044375</v>
      </c>
      <c r="F260" s="47" t="n">
        <f aca="false">E260+Inputs!$B$38*(F242-F239)</f>
        <v>42.3054117735078</v>
      </c>
    </row>
    <row r="261" customFormat="false" ht="15" hidden="false" customHeight="false" outlineLevel="0" collapsed="false">
      <c r="A261" s="10" t="s">
        <v>539</v>
      </c>
      <c r="B261" s="47" t="n">
        <f aca="false">B260*Inputs!$B$79</f>
        <v>1.92100992</v>
      </c>
      <c r="C261" s="47" t="n">
        <f aca="false">C260*Inputs!$B$79</f>
        <v>4.281658001</v>
      </c>
      <c r="D261" s="47" t="n">
        <f aca="false">D260*Inputs!$B$79</f>
        <v>6.480147827525</v>
      </c>
      <c r="E261" s="47" t="n">
        <f aca="false">E260*Inputs!$B$79</f>
        <v>8.476708754721</v>
      </c>
      <c r="F261" s="47" t="n">
        <f aca="false">F260*Inputs!$B$79</f>
        <v>10.2209874844795</v>
      </c>
    </row>
    <row r="262" customFormat="false" ht="15" hidden="false" customHeight="false" outlineLevel="0" collapsed="false">
      <c r="A262" s="10" t="s">
        <v>540</v>
      </c>
      <c r="C262" s="47" t="n">
        <f aca="false">C240-C259</f>
        <v>9.40555245833333</v>
      </c>
      <c r="D262" s="47" t="n">
        <f aca="false">D240-D259</f>
        <v>12.7012667802458</v>
      </c>
      <c r="E262" s="47" t="n">
        <f aca="false">E240-E259</f>
        <v>15.7773339803558</v>
      </c>
      <c r="F262" s="47" t="n">
        <f aca="false">F240-F259</f>
        <v>20.0095795437904</v>
      </c>
    </row>
    <row r="263" customFormat="false" ht="15" hidden="false" customHeight="false" outlineLevel="0" collapsed="false">
      <c r="A263" s="10" t="s">
        <v>541</v>
      </c>
      <c r="C263" s="47" t="n">
        <f aca="false">Inputs!$B$65*(C230-B230)</f>
        <v>0</v>
      </c>
      <c r="D263" s="47" t="n">
        <f aca="false">Inputs!$B$65*(D230-C230)</f>
        <v>0</v>
      </c>
      <c r="E263" s="47" t="n">
        <f aca="false">Inputs!$B$65*(E230-D230)</f>
        <v>0</v>
      </c>
      <c r="F263" s="47" t="n">
        <f aca="false">Inputs!$B$65*(F230-E230)</f>
        <v>0</v>
      </c>
    </row>
    <row r="264" customFormat="false" ht="15" hidden="false" customHeight="false" outlineLevel="0" collapsed="false">
      <c r="A264" s="13" t="s">
        <v>542</v>
      </c>
      <c r="B264" s="18" t="n">
        <f aca="false">B265-B237</f>
        <v>-4.101775</v>
      </c>
      <c r="C264" s="18" t="n">
        <f aca="false">C240+C239-C259-C242-C263</f>
        <v>-6.8792715</v>
      </c>
      <c r="D264" s="18" t="n">
        <f aca="false">D240+D239-D259-D242-D263</f>
        <v>-2.46491579787917</v>
      </c>
      <c r="E264" s="18" t="n">
        <f aca="false">E240+E239-E259-E242-E263</f>
        <v>2.00414877618917</v>
      </c>
      <c r="F264" s="18" t="n">
        <f aca="false">F240+F239-F259-F242-F263</f>
        <v>7.97675166190234</v>
      </c>
    </row>
    <row r="265" customFormat="false" ht="15" hidden="false" customHeight="false" outlineLevel="0" collapsed="false">
      <c r="A265" s="10" t="s">
        <v>543</v>
      </c>
      <c r="B265" s="47" t="n">
        <f aca="false">(Inputs!$D$120+Inputs!$D$121+Inputs!$D$122)*Inputs!$D$123+Inputs!$B$53/4+B237-B259-B243</f>
        <v>-2.849775</v>
      </c>
      <c r="C265" s="47" t="n">
        <f aca="false">C264+C237+C238</f>
        <v>-1.8992735</v>
      </c>
      <c r="D265" s="47" t="n">
        <f aca="false">D264+D237+D238</f>
        <v>3.27444570212083</v>
      </c>
      <c r="E265" s="47" t="n">
        <f aca="false">E264+E237+E238</f>
        <v>8.65045761118917</v>
      </c>
      <c r="F265" s="47" t="n">
        <f aca="false">F264+F237+F238</f>
        <v>15.7121538896523</v>
      </c>
    </row>
    <row r="266" customFormat="false" ht="15" hidden="false" customHeight="false" outlineLevel="0" collapsed="false">
      <c r="A266" s="10" t="s">
        <v>544</v>
      </c>
      <c r="B266" s="47" t="n">
        <f aca="false">Historicals!$B$87</f>
        <v>45.447</v>
      </c>
      <c r="C266" s="47" t="n">
        <f aca="false">B277</f>
        <v>42.8960954773869</v>
      </c>
      <c r="D266" s="47" t="n">
        <f aca="false">C277</f>
        <v>42.1258815172803</v>
      </c>
      <c r="E266" s="47" t="n">
        <f aca="false">D277</f>
        <v>46.603535560966</v>
      </c>
      <c r="F266" s="47" t="n">
        <f aca="false">E277</f>
        <v>56.7496774320148</v>
      </c>
    </row>
    <row r="267" customFormat="false" ht="15" hidden="false" customHeight="false" outlineLevel="0" collapsed="false">
      <c r="A267" s="10" t="s">
        <v>545</v>
      </c>
      <c r="B267" s="47" t="n">
        <f aca="false">Historicals!$B$88</f>
        <v>9.523</v>
      </c>
      <c r="C267" s="47" t="n">
        <f aca="false">B278</f>
        <v>9.523</v>
      </c>
      <c r="D267" s="47" t="n">
        <f aca="false">C278</f>
        <v>9.523</v>
      </c>
      <c r="E267" s="47" t="n">
        <f aca="false">D278</f>
        <v>9.523</v>
      </c>
      <c r="F267" s="47" t="n">
        <f aca="false">E278</f>
        <v>9.523</v>
      </c>
    </row>
    <row r="268" customFormat="false" ht="15" hidden="false" customHeight="false" outlineLevel="0" collapsed="false">
      <c r="A268" s="10" t="s">
        <v>546</v>
      </c>
      <c r="B268" s="26" t="n">
        <v>0</v>
      </c>
      <c r="C268" s="47" t="n">
        <f aca="false">Inputs!$B$63</f>
        <v>0</v>
      </c>
      <c r="D268" s="26" t="n">
        <v>0</v>
      </c>
      <c r="E268" s="26" t="n">
        <v>0</v>
      </c>
      <c r="F268" s="26" t="n">
        <v>0</v>
      </c>
    </row>
    <row r="269" customFormat="false" ht="15" hidden="false" customHeight="false" outlineLevel="0" collapsed="false">
      <c r="A269" s="10" t="s">
        <v>547</v>
      </c>
      <c r="B269" s="47" t="n">
        <f aca="false">(B266+B265-B268+Inputs!$B$60/4*B266/2-Inputs!$B$61/4*(B267-B268/2))/(1-Inputs!$B$60/4/2)</f>
        <v>42.8960954773869</v>
      </c>
      <c r="C269" s="47" t="n">
        <f aca="false">(C266+C265-C268+Inputs!$B$60*C266/2-Inputs!$B$61*(C267-C268/2))/(1-Inputs!$B$60/2)</f>
        <v>42.1258815172803</v>
      </c>
      <c r="D269" s="47" t="n">
        <f aca="false">(D266+D265-D268+Inputs!$B$60*D266/2-Inputs!$B$61*(D267-D268/2))/(1-Inputs!$B$60/2)</f>
        <v>46.603535560966</v>
      </c>
      <c r="E269" s="47" t="n">
        <f aca="false">(E266+E265-E268+Inputs!$B$60*E266/2-Inputs!$B$61*(E267-E268/2))/(1-Inputs!$B$60/2)</f>
        <v>56.7496774320148</v>
      </c>
      <c r="F269" s="47" t="n">
        <f aca="false">(F266+F265-F268+Inputs!$B$60*F266/2-Inputs!$B$61*(F267-F268/2))/(1-Inputs!$B$60/2)</f>
        <v>74.5157600717423</v>
      </c>
    </row>
    <row r="270" customFormat="false" ht="15" hidden="false" customHeight="false" outlineLevel="0" collapsed="false">
      <c r="A270" s="10" t="s">
        <v>548</v>
      </c>
      <c r="B270" s="47" t="n">
        <f aca="false">IF(B269&gt;=Inputs!$B$67,0,(Inputs!$B$67-B266-B265+B268-Inputs!$B$60/4*(B266+Inputs!$B$67)/2+Inputs!$B$61/4*(B267-B268/2))/(1-Inputs!$B$61/4*Inputs!$B$69/(2*(1-Inputs!$B$70))))</f>
        <v>0</v>
      </c>
      <c r="C270" s="47" t="n">
        <f aca="false">IF(C269&gt;=Inputs!$B$67,0,(Inputs!$B$67-C266-C265+C268-Inputs!$B$60*(C266+Inputs!$B$67)/2+Inputs!$B$61*(C267-C268/2))/(1-Inputs!$B$61*Inputs!$B$69/(2*(1-Inputs!$B$70))))</f>
        <v>0</v>
      </c>
      <c r="D270" s="47" t="n">
        <f aca="false">IF(D269&gt;=Inputs!$B$67,0,(Inputs!$B$67-D266-D265+D268-Inputs!$B$60*(D266+Inputs!$B$67)/2+Inputs!$B$61*(D267-D268/2))/(1-Inputs!$B$61*Inputs!$B$69/(2*(1-Inputs!$B$70))))</f>
        <v>0</v>
      </c>
      <c r="E270" s="47" t="n">
        <f aca="false">IF(E269&gt;=Inputs!$B$67,0,(Inputs!$B$67-E266-E265+E268-Inputs!$B$60*(E266+Inputs!$B$67)/2+Inputs!$B$61*(E267-E268/2))/(1-Inputs!$B$61*Inputs!$B$69/(2*(1-Inputs!$B$70))))</f>
        <v>0</v>
      </c>
      <c r="F270" s="47" t="n">
        <f aca="false">IF(F269&gt;=Inputs!$B$67,0,(Inputs!$B$67-F266-F265+F268-Inputs!$B$60*(F266+Inputs!$B$67)/2+Inputs!$B$61*(F267-F268/2))/(1-Inputs!$B$61*Inputs!$B$69/(2*(1-Inputs!$B$70))))</f>
        <v>0</v>
      </c>
    </row>
    <row r="271" customFormat="false" ht="15" hidden="false" customHeight="false" outlineLevel="0" collapsed="false">
      <c r="A271" s="10" t="s">
        <v>549</v>
      </c>
      <c r="B271" s="47" t="n">
        <f aca="false">B270/(1-Inputs!$B$70)</f>
        <v>0</v>
      </c>
      <c r="C271" s="47" t="n">
        <f aca="false">C270/(1-Inputs!$B$70)</f>
        <v>0</v>
      </c>
      <c r="D271" s="47" t="n">
        <f aca="false">D270/(1-Inputs!$B$70)</f>
        <v>0</v>
      </c>
      <c r="E271" s="47" t="n">
        <f aca="false">E270/(1-Inputs!$B$70)</f>
        <v>0</v>
      </c>
      <c r="F271" s="47" t="n">
        <f aca="false">F270/(1-Inputs!$B$70)</f>
        <v>0</v>
      </c>
    </row>
    <row r="272" customFormat="false" ht="15" hidden="false" customHeight="false" outlineLevel="0" collapsed="false">
      <c r="A272" s="10" t="s">
        <v>550</v>
      </c>
      <c r="B272" s="47" t="n">
        <f aca="false">B271*Inputs!$B$69</f>
        <v>0</v>
      </c>
      <c r="C272" s="47" t="n">
        <f aca="false">C271*Inputs!$B$69</f>
        <v>0</v>
      </c>
      <c r="D272" s="47" t="n">
        <f aca="false">D271*Inputs!$B$69</f>
        <v>0</v>
      </c>
      <c r="E272" s="47" t="n">
        <f aca="false">E271*Inputs!$B$69</f>
        <v>0</v>
      </c>
      <c r="F272" s="47" t="n">
        <f aca="false">F271*Inputs!$B$69</f>
        <v>0</v>
      </c>
    </row>
    <row r="273" customFormat="false" ht="15" hidden="false" customHeight="false" outlineLevel="0" collapsed="false">
      <c r="A273" s="10" t="s">
        <v>551</v>
      </c>
      <c r="B273" s="47" t="n">
        <f aca="false">B271-B272</f>
        <v>0</v>
      </c>
      <c r="C273" s="47" t="n">
        <f aca="false">C271-C272</f>
        <v>0</v>
      </c>
      <c r="D273" s="47" t="n">
        <f aca="false">D271-D272</f>
        <v>0</v>
      </c>
      <c r="E273" s="47" t="n">
        <f aca="false">E271-E272</f>
        <v>0</v>
      </c>
      <c r="F273" s="47" t="n">
        <f aca="false">F271-F272</f>
        <v>0</v>
      </c>
    </row>
    <row r="274" customFormat="false" ht="15" hidden="false" customHeight="false" outlineLevel="0" collapsed="false">
      <c r="A274" s="10" t="s">
        <v>552</v>
      </c>
      <c r="B274" s="47" t="n">
        <f aca="false">B271-B270</f>
        <v>0</v>
      </c>
      <c r="C274" s="47" t="n">
        <f aca="false">C271-C270</f>
        <v>0</v>
      </c>
      <c r="D274" s="47" t="n">
        <f aca="false">D271-D270</f>
        <v>0</v>
      </c>
      <c r="E274" s="47" t="n">
        <f aca="false">E271-E270</f>
        <v>0</v>
      </c>
      <c r="F274" s="47" t="n">
        <f aca="false">F271-F270</f>
        <v>0</v>
      </c>
    </row>
    <row r="275" customFormat="false" ht="15" hidden="false" customHeight="false" outlineLevel="0" collapsed="false">
      <c r="A275" s="10" t="s">
        <v>553</v>
      </c>
      <c r="B275" s="47" t="n">
        <f aca="false">Inputs!$B$60/4*(B266+B277)/2</f>
        <v>0.441715477386935</v>
      </c>
      <c r="C275" s="47" t="n">
        <f aca="false">Inputs!$B$60*(C266+C277)/2</f>
        <v>1.70043953989334</v>
      </c>
      <c r="D275" s="47" t="n">
        <f aca="false">Inputs!$B$60*(D266+D277)/2</f>
        <v>1.77458834156493</v>
      </c>
      <c r="E275" s="47" t="n">
        <f aca="false">Inputs!$B$60*(E266+E277)/2</f>
        <v>2.06706425985962</v>
      </c>
      <c r="F275" s="47" t="n">
        <f aca="false">Inputs!$B$60*(F266+F277)/2</f>
        <v>2.62530875007514</v>
      </c>
    </row>
    <row r="276" customFormat="false" ht="15" hidden="false" customHeight="false" outlineLevel="0" collapsed="false">
      <c r="A276" s="10" t="s">
        <v>554</v>
      </c>
      <c r="B276" s="47" t="n">
        <f aca="false">Inputs!$B$61/4*(B267-B268/2+B272/2)</f>
        <v>0.142845</v>
      </c>
      <c r="C276" s="47" t="n">
        <f aca="false">Inputs!$B$61*(C267-C268/2+C272/2)</f>
        <v>0.57138</v>
      </c>
      <c r="D276" s="47" t="n">
        <f aca="false">Inputs!$B$61*(D267-D268/2+D272/2)</f>
        <v>0.57138</v>
      </c>
      <c r="E276" s="47" t="n">
        <f aca="false">Inputs!$B$61*(E267-E268/2+E272/2)</f>
        <v>0.57138</v>
      </c>
      <c r="F276" s="47" t="n">
        <f aca="false">Inputs!$B$61*(F267-F268/2+F272/2)</f>
        <v>0.57138</v>
      </c>
    </row>
    <row r="277" customFormat="false" ht="15" hidden="false" customHeight="false" outlineLevel="0" collapsed="false">
      <c r="A277" s="13" t="s">
        <v>555</v>
      </c>
      <c r="B277" s="18" t="n">
        <f aca="false">IF(B270&gt;0,Inputs!$B$67,B269)</f>
        <v>42.8960954773869</v>
      </c>
      <c r="C277" s="18" t="n">
        <f aca="false">IF(C270&gt;0,Inputs!$B$67,C269)</f>
        <v>42.1258815172803</v>
      </c>
      <c r="D277" s="18" t="n">
        <f aca="false">IF(D270&gt;0,Inputs!$B$67,D269)</f>
        <v>46.603535560966</v>
      </c>
      <c r="E277" s="18" t="n">
        <f aca="false">IF(E270&gt;0,Inputs!$B$67,E269)</f>
        <v>56.7496774320148</v>
      </c>
      <c r="F277" s="18" t="n">
        <f aca="false">IF(F270&gt;0,Inputs!$B$67,F269)</f>
        <v>74.5157600717423</v>
      </c>
    </row>
    <row r="278" customFormat="false" ht="15" hidden="false" customHeight="false" outlineLevel="0" collapsed="false">
      <c r="A278" s="10" t="s">
        <v>556</v>
      </c>
      <c r="B278" s="47" t="n">
        <f aca="false">B267-B268+B272</f>
        <v>9.523</v>
      </c>
      <c r="C278" s="47" t="n">
        <f aca="false">C267-C268+C272</f>
        <v>9.523</v>
      </c>
      <c r="D278" s="47" t="n">
        <f aca="false">D267-D268+D272</f>
        <v>9.523</v>
      </c>
      <c r="E278" s="47" t="n">
        <f aca="false">E267-E268+E272</f>
        <v>9.523</v>
      </c>
      <c r="F278" s="47" t="n">
        <f aca="false">F267-F268+F272</f>
        <v>9.523</v>
      </c>
    </row>
    <row r="279" customFormat="false" ht="15" hidden="false" customHeight="false" outlineLevel="0" collapsed="false">
      <c r="A279" s="13" t="s">
        <v>557</v>
      </c>
      <c r="B279" s="18" t="n">
        <f aca="false">B277-B278</f>
        <v>33.3730954773869</v>
      </c>
      <c r="C279" s="18" t="n">
        <f aca="false">C277-C278</f>
        <v>32.6028815172803</v>
      </c>
      <c r="D279" s="18" t="n">
        <f aca="false">D277-D278</f>
        <v>37.080535560966</v>
      </c>
      <c r="E279" s="18" t="n">
        <f aca="false">E277-E278</f>
        <v>47.2266774320148</v>
      </c>
      <c r="F279" s="18" t="n">
        <f aca="false">F277-F278</f>
        <v>64.9927600717423</v>
      </c>
    </row>
    <row r="280" customFormat="false" ht="15" hidden="false" customHeight="false" outlineLevel="0" collapsed="false">
      <c r="A280" s="10" t="s">
        <v>558</v>
      </c>
      <c r="B280" s="33" t="n">
        <f aca="false">ROUND(B266+B265-B268+B275-B276+B270-B277,6)</f>
        <v>0</v>
      </c>
      <c r="C280" s="33" t="n">
        <f aca="false">ROUND(C266+C265-C268+C275-C276+C270-C277,6)</f>
        <v>0</v>
      </c>
      <c r="D280" s="33" t="n">
        <f aca="false">ROUND(D266+D265-D268+D275-D276+D270-D277,6)</f>
        <v>0</v>
      </c>
      <c r="E280" s="33" t="n">
        <f aca="false">ROUND(E266+E265-E268+E275-E276+E270-E277,6)</f>
        <v>0</v>
      </c>
      <c r="F280" s="33" t="n">
        <f aca="false">ROUND(F266+F265-F268+F275-F276+F270-F277,6)</f>
        <v>0</v>
      </c>
    </row>
    <row r="281" customFormat="false" ht="15" hidden="false" customHeight="false" outlineLevel="0" collapsed="false">
      <c r="A281" s="10" t="s">
        <v>559</v>
      </c>
      <c r="B281" s="47" t="n">
        <f aca="false">B271</f>
        <v>0</v>
      </c>
      <c r="C281" s="47" t="n">
        <f aca="false">B281+C271</f>
        <v>0</v>
      </c>
      <c r="D281" s="47" t="n">
        <f aca="false">C281+D271</f>
        <v>0</v>
      </c>
      <c r="E281" s="47" t="n">
        <f aca="false">D281+E271</f>
        <v>0</v>
      </c>
      <c r="F281" s="47" t="n">
        <f aca="false">E281+F271</f>
        <v>0</v>
      </c>
    </row>
    <row r="282" customFormat="false" ht="15" hidden="false" customHeight="false" outlineLevel="0" collapsed="false">
      <c r="A282" s="10" t="s">
        <v>560</v>
      </c>
      <c r="B282" s="49" t="str">
        <f aca="false">IF(B281&gt;Inputs!$B$73,"UNFUNDED: above limit",IF(B271&gt;0,"Raising","OK"))</f>
        <v>OK</v>
      </c>
      <c r="C282" s="49" t="str">
        <f aca="false">IF(C281&gt;Inputs!$B$73,"UNFUNDED: above limit",IF(C271&gt;0,"Raising","OK"))</f>
        <v>OK</v>
      </c>
      <c r="D282" s="49" t="str">
        <f aca="false">IF(D281&gt;Inputs!$B$73,"UNFUNDED: above limit",IF(D271&gt;0,"Raising","OK"))</f>
        <v>OK</v>
      </c>
      <c r="E282" s="49" t="str">
        <f aca="false">IF(E281&gt;Inputs!$B$73,"UNFUNDED: above limit",IF(E271&gt;0,"Raising","OK"))</f>
        <v>OK</v>
      </c>
      <c r="F282" s="49" t="str">
        <f aca="false">IF(F281&gt;Inputs!$B$73,"UNFUNDED: above limit",IF(F271&gt;0,"Raising","OK"))</f>
        <v>OK</v>
      </c>
    </row>
    <row r="283" customFormat="false" ht="15" hidden="false" customHeight="false" outlineLevel="0" collapsed="false">
      <c r="A283" s="10" t="s">
        <v>561</v>
      </c>
      <c r="B283" s="47" t="n">
        <f aca="false">$F$240</f>
        <v>24.083993689388</v>
      </c>
    </row>
    <row r="284" customFormat="false" ht="15" hidden="false" customHeight="false" outlineLevel="0" collapsed="false">
      <c r="A284" s="10" t="s">
        <v>562</v>
      </c>
      <c r="B284" s="19" t="n">
        <f aca="false">IF(Inputs!$B$8=1,Inputs!$B$79,IFERROR($F$259/$F$240,0))</f>
        <v>0.2416</v>
      </c>
    </row>
    <row r="285" customFormat="false" ht="15" hidden="false" customHeight="false" outlineLevel="0" collapsed="false">
      <c r="A285" s="10" t="s">
        <v>563</v>
      </c>
      <c r="B285" s="47" t="n">
        <f aca="false">$B$283*(1-$B$284)</f>
        <v>18.2653008140319</v>
      </c>
    </row>
    <row r="286" customFormat="false" ht="15" hidden="false" customHeight="false" outlineLevel="0" collapsed="false">
      <c r="A286" s="10" t="s">
        <v>564</v>
      </c>
      <c r="B286" s="50" t="n">
        <f aca="false">Inputs!$D$152</f>
        <v>60</v>
      </c>
    </row>
    <row r="287" customFormat="false" ht="15" hidden="false" customHeight="false" outlineLevel="0" collapsed="false">
      <c r="A287" s="10" t="s">
        <v>565</v>
      </c>
      <c r="B287" s="47" t="n">
        <f aca="false">$B$285*$B$286*$F$527</f>
        <v>721.915163896721</v>
      </c>
    </row>
    <row r="288" customFormat="false" ht="15" hidden="false" customHeight="false" outlineLevel="0" collapsed="false">
      <c r="A288" s="10" t="s">
        <v>566</v>
      </c>
      <c r="B288" s="47" t="n">
        <f aca="false">SUMPRODUCT($C$264:$F$264,$C$527:$F$527)</f>
        <v>-1.47817314475625</v>
      </c>
    </row>
    <row r="289" customFormat="false" ht="15" hidden="false" customHeight="false" outlineLevel="0" collapsed="false">
      <c r="A289" s="10" t="s">
        <v>567</v>
      </c>
      <c r="B289" s="18" t="n">
        <f aca="false">$B$287+$B$288</f>
        <v>720.436990751965</v>
      </c>
    </row>
    <row r="290" customFormat="false" ht="15" hidden="false" customHeight="false" outlineLevel="0" collapsed="false">
      <c r="A290" s="10" t="s">
        <v>568</v>
      </c>
      <c r="B290" s="47" t="n">
        <f aca="false">$B$285+$F$239-$F$242-$F$263</f>
        <v>6.23247293214385</v>
      </c>
    </row>
    <row r="291" customFormat="false" ht="15" hidden="false" customHeight="false" outlineLevel="0" collapsed="false">
      <c r="A291" s="10" t="s">
        <v>569</v>
      </c>
      <c r="B291" s="50" t="n">
        <f aca="false">Inputs!$D$153</f>
        <v>48</v>
      </c>
    </row>
    <row r="292" customFormat="false" ht="15" hidden="false" customHeight="false" outlineLevel="0" collapsed="false">
      <c r="A292" s="10" t="s">
        <v>570</v>
      </c>
      <c r="B292" s="47" t="n">
        <f aca="false">$B$290*$B$291*$F$527</f>
        <v>197.065102364326</v>
      </c>
    </row>
    <row r="293" customFormat="false" ht="15" hidden="false" customHeight="false" outlineLevel="0" collapsed="false">
      <c r="A293" s="10" t="s">
        <v>571</v>
      </c>
      <c r="B293" s="18" t="n">
        <f aca="false">$B$288+$B$292</f>
        <v>195.58692921957</v>
      </c>
    </row>
    <row r="294" customFormat="false" ht="15" hidden="false" customHeight="false" outlineLevel="0" collapsed="false">
      <c r="A294" s="13" t="s">
        <v>572</v>
      </c>
      <c r="B294" s="18" t="n">
        <f aca="false">$B$289*Inputs!$B$7+$B$293*(1-Inputs!$B$7)</f>
        <v>458.011959985767</v>
      </c>
    </row>
    <row r="295" customFormat="false" ht="15" hidden="false" customHeight="false" outlineLevel="0" collapsed="false">
      <c r="A295" s="10" t="s">
        <v>573</v>
      </c>
      <c r="B295" s="47" t="n">
        <f aca="false">MAX(0,$F$245)</f>
        <v>16.8642969602552</v>
      </c>
      <c r="H295" s="51" t="n">
        <v>1</v>
      </c>
      <c r="I295" s="51" t="n">
        <v>2</v>
      </c>
      <c r="J295" s="51" t="n">
        <v>3</v>
      </c>
      <c r="K295" s="51" t="n">
        <v>4</v>
      </c>
      <c r="L295" s="51" t="n">
        <v>5</v>
      </c>
      <c r="M295" s="51" t="n">
        <v>6</v>
      </c>
      <c r="N295" s="51" t="n">
        <v>7</v>
      </c>
      <c r="O295" s="51" t="n">
        <v>8</v>
      </c>
      <c r="P295" s="51" t="n">
        <v>9</v>
      </c>
      <c r="Q295" s="51" t="n">
        <v>10</v>
      </c>
      <c r="R295" s="51" t="n">
        <v>11</v>
      </c>
      <c r="S295" s="51" t="n">
        <v>12</v>
      </c>
      <c r="T295" s="51" t="n">
        <v>13</v>
      </c>
      <c r="U295" s="51" t="n">
        <v>14</v>
      </c>
      <c r="V295" s="51" t="n">
        <v>15</v>
      </c>
      <c r="W295" s="51" t="n">
        <v>16</v>
      </c>
      <c r="X295" s="51" t="n">
        <v>17</v>
      </c>
      <c r="Y295" s="51" t="n">
        <v>18</v>
      </c>
      <c r="Z295" s="51" t="n">
        <v>19</v>
      </c>
      <c r="AA295" s="51" t="n">
        <v>20</v>
      </c>
      <c r="AB295" s="51" t="n">
        <v>21</v>
      </c>
      <c r="AC295" s="51" t="n">
        <v>22</v>
      </c>
      <c r="AD295" s="51" t="n">
        <v>23</v>
      </c>
      <c r="AE295" s="51" t="n">
        <v>24</v>
      </c>
      <c r="AF295" s="51" t="n">
        <v>25</v>
      </c>
      <c r="AG295" s="51" t="n">
        <v>26</v>
      </c>
      <c r="AH295" s="51" t="n">
        <v>27</v>
      </c>
      <c r="AI295" s="51" t="n">
        <v>28</v>
      </c>
      <c r="AJ295" s="51" t="n">
        <v>29</v>
      </c>
      <c r="AK295" s="51" t="n">
        <v>30</v>
      </c>
    </row>
    <row r="296" customFormat="false" ht="15" hidden="false" customHeight="false" outlineLevel="0" collapsed="false">
      <c r="A296" s="10" t="s">
        <v>574</v>
      </c>
      <c r="H296" s="25" t="n">
        <f aca="false">1/(1+Inputs!$B$6)^1</f>
        <v>0.900900900900901</v>
      </c>
      <c r="I296" s="25" t="n">
        <f aca="false">1/(1+Inputs!$B$6)^2</f>
        <v>0.811622433244055</v>
      </c>
      <c r="J296" s="25" t="n">
        <f aca="false">1/(1+Inputs!$B$6)^3</f>
        <v>0.73119138130095</v>
      </c>
      <c r="K296" s="25" t="n">
        <f aca="false">1/(1+Inputs!$B$6)^4</f>
        <v>0.658730974145</v>
      </c>
      <c r="L296" s="25" t="n">
        <f aca="false">1/(1+Inputs!$B$6)^5</f>
        <v>0.593451328058559</v>
      </c>
      <c r="M296" s="25" t="n">
        <f aca="false">1/(1+Inputs!$B$6)^6</f>
        <v>0.534640836088791</v>
      </c>
      <c r="N296" s="25" t="n">
        <f aca="false">1/(1+Inputs!$B$6)^7</f>
        <v>0.481658410890803</v>
      </c>
      <c r="O296" s="25" t="n">
        <f aca="false">1/(1+Inputs!$B$6)^8</f>
        <v>0.433926496298021</v>
      </c>
      <c r="P296" s="25" t="n">
        <f aca="false">1/(1+Inputs!$B$6)^9</f>
        <v>0.390924771439658</v>
      </c>
      <c r="Q296" s="25" t="n">
        <f aca="false">1/(1+Inputs!$B$6)^10</f>
        <v>0.352184478774467</v>
      </c>
      <c r="R296" s="25" t="n">
        <f aca="false">1/(1+Inputs!$B$6)^11</f>
        <v>0.317283314211231</v>
      </c>
      <c r="S296" s="25" t="n">
        <f aca="false">1/(1+Inputs!$B$6)^12</f>
        <v>0.285840823613722</v>
      </c>
      <c r="T296" s="25" t="n">
        <f aca="false">1/(1+Inputs!$B$6)^13</f>
        <v>0.257514255507858</v>
      </c>
      <c r="U296" s="25" t="n">
        <f aca="false">1/(1+Inputs!$B$6)^14</f>
        <v>0.231994824781854</v>
      </c>
      <c r="V296" s="25" t="n">
        <f aca="false">1/(1+Inputs!$B$6)^15</f>
        <v>0.209004346650319</v>
      </c>
      <c r="W296" s="25" t="n">
        <f aca="false">1/(1+Inputs!$B$6)^16</f>
        <v>0.188292204189476</v>
      </c>
      <c r="X296" s="25" t="n">
        <f aca="false">1/(1+Inputs!$B$6)^17</f>
        <v>0.169632616386915</v>
      </c>
      <c r="Y296" s="25" t="n">
        <f aca="false">1/(1+Inputs!$B$6)^18</f>
        <v>0.152822176925149</v>
      </c>
      <c r="Z296" s="25" t="n">
        <f aca="false">1/(1+Inputs!$B$6)^19</f>
        <v>0.137677636869504</v>
      </c>
      <c r="AA296" s="25" t="n">
        <f aca="false">1/(1+Inputs!$B$6)^20</f>
        <v>0.124033907089643</v>
      </c>
      <c r="AB296" s="25" t="n">
        <f aca="false">1/(1+Inputs!$B$6)^21</f>
        <v>0.111742258639318</v>
      </c>
      <c r="AC296" s="25" t="n">
        <f aca="false">1/(1+Inputs!$B$6)^22</f>
        <v>0.100668701476863</v>
      </c>
      <c r="AD296" s="25" t="n">
        <f aca="false">1/(1+Inputs!$B$6)^23</f>
        <v>0.0906925238530297</v>
      </c>
      <c r="AE296" s="25" t="n">
        <f aca="false">1/(1+Inputs!$B$6)^24</f>
        <v>0.0817049764441709</v>
      </c>
      <c r="AF296" s="25" t="n">
        <f aca="false">1/(1+Inputs!$B$6)^25</f>
        <v>0.0736080868866405</v>
      </c>
      <c r="AG296" s="25" t="n">
        <f aca="false">1/(1+Inputs!$B$6)^26</f>
        <v>0.0663135917897662</v>
      </c>
      <c r="AH296" s="25" t="n">
        <f aca="false">1/(1+Inputs!$B$6)^27</f>
        <v>0.0597419745853749</v>
      </c>
      <c r="AI296" s="25" t="n">
        <f aca="false">1/(1+Inputs!$B$6)^28</f>
        <v>0.053821598725563</v>
      </c>
      <c r="AJ296" s="25" t="n">
        <f aca="false">1/(1+Inputs!$B$6)^29</f>
        <v>0.0484879267797865</v>
      </c>
      <c r="AK296" s="25" t="n">
        <f aca="false">1/(1+Inputs!$B$6)^30</f>
        <v>0.0436828169187266</v>
      </c>
    </row>
    <row r="297" customFormat="false" ht="15" hidden="false" customHeight="false" outlineLevel="0" collapsed="false">
      <c r="A297" s="10" t="s">
        <v>575</v>
      </c>
      <c r="G297" s="47" t="n">
        <f aca="false">$F$248</f>
        <v>0</v>
      </c>
      <c r="H297" s="47" t="n">
        <f aca="false">G297</f>
        <v>0</v>
      </c>
      <c r="I297" s="47" t="n">
        <f aca="false">H297-H298</f>
        <v>0</v>
      </c>
      <c r="J297" s="47" t="n">
        <f aca="false">I297-I298</f>
        <v>0</v>
      </c>
      <c r="K297" s="47" t="n">
        <f aca="false">J297-J298</f>
        <v>0</v>
      </c>
      <c r="L297" s="47" t="n">
        <f aca="false">K297-K298</f>
        <v>0</v>
      </c>
      <c r="M297" s="47" t="n">
        <f aca="false">L297-L298</f>
        <v>0</v>
      </c>
      <c r="N297" s="47" t="n">
        <f aca="false">M297-M298</f>
        <v>0</v>
      </c>
      <c r="O297" s="47" t="n">
        <f aca="false">N297-N298</f>
        <v>0</v>
      </c>
      <c r="P297" s="47" t="n">
        <f aca="false">O297-O298</f>
        <v>0</v>
      </c>
      <c r="Q297" s="47" t="n">
        <f aca="false">P297-P298</f>
        <v>0</v>
      </c>
      <c r="R297" s="47" t="n">
        <f aca="false">Q297-Q298</f>
        <v>0</v>
      </c>
      <c r="S297" s="47" t="n">
        <f aca="false">R297-R298</f>
        <v>0</v>
      </c>
      <c r="T297" s="47" t="n">
        <f aca="false">S297-S298</f>
        <v>0</v>
      </c>
      <c r="U297" s="47" t="n">
        <f aca="false">T297-T298</f>
        <v>0</v>
      </c>
      <c r="V297" s="47" t="n">
        <f aca="false">U297-U298</f>
        <v>0</v>
      </c>
      <c r="W297" s="47" t="n">
        <f aca="false">V297-V298</f>
        <v>0</v>
      </c>
      <c r="X297" s="47" t="n">
        <f aca="false">W297-W298</f>
        <v>0</v>
      </c>
      <c r="Y297" s="47" t="n">
        <f aca="false">X297-X298</f>
        <v>0</v>
      </c>
      <c r="Z297" s="47" t="n">
        <f aca="false">Y297-Y298</f>
        <v>0</v>
      </c>
      <c r="AA297" s="47" t="n">
        <f aca="false">Z297-Z298</f>
        <v>0</v>
      </c>
      <c r="AB297" s="47" t="n">
        <f aca="false">AA297-AA298</f>
        <v>0</v>
      </c>
      <c r="AC297" s="47" t="n">
        <f aca="false">AB297-AB298</f>
        <v>0</v>
      </c>
      <c r="AD297" s="47" t="n">
        <f aca="false">AC297-AC298</f>
        <v>0</v>
      </c>
      <c r="AE297" s="47" t="n">
        <f aca="false">AD297-AD298</f>
        <v>0</v>
      </c>
      <c r="AF297" s="47" t="n">
        <f aca="false">AE297-AE298</f>
        <v>0</v>
      </c>
      <c r="AG297" s="47" t="n">
        <f aca="false">AF297-AF298</f>
        <v>0</v>
      </c>
      <c r="AH297" s="47" t="n">
        <f aca="false">AG297-AG298</f>
        <v>0</v>
      </c>
      <c r="AI297" s="47" t="n">
        <f aca="false">AH297-AH298</f>
        <v>0</v>
      </c>
      <c r="AJ297" s="47" t="n">
        <f aca="false">AI297-AI298</f>
        <v>0</v>
      </c>
      <c r="AK297" s="47" t="n">
        <f aca="false">AJ297-AJ298</f>
        <v>0</v>
      </c>
    </row>
    <row r="298" customFormat="false" ht="15" hidden="false" customHeight="false" outlineLevel="0" collapsed="false">
      <c r="A298" s="10" t="s">
        <v>576</v>
      </c>
      <c r="H298" s="47" t="n">
        <f aca="false">IF(1&lt;=Inputs!$B$44,MIN(H297,$B$295,1E+099),0)</f>
        <v>0</v>
      </c>
      <c r="I298" s="47" t="n">
        <f aca="false">IF(2&lt;=Inputs!$B$44,MIN(I297,$B$295,1E+099),0)</f>
        <v>0</v>
      </c>
      <c r="J298" s="47" t="n">
        <f aca="false">IF(3&lt;=Inputs!$B$44,MIN(J297,$B$295,1E+099),0)</f>
        <v>0</v>
      </c>
      <c r="K298" s="47" t="n">
        <f aca="false">IF(4&lt;=Inputs!$B$44,MIN(K297,$B$295,1E+099),0)</f>
        <v>0</v>
      </c>
      <c r="L298" s="47" t="n">
        <f aca="false">IF(5&lt;=Inputs!$B$44,MIN(L297,$B$295,1E+099),0)</f>
        <v>0</v>
      </c>
      <c r="M298" s="47" t="n">
        <f aca="false">IF(6&lt;=Inputs!$B$44,MIN(M297,$B$295,1E+099),0)</f>
        <v>0</v>
      </c>
      <c r="N298" s="47" t="n">
        <f aca="false">IF(7&lt;=Inputs!$B$44,MIN(N297,$B$295,1E+099),0)</f>
        <v>0</v>
      </c>
      <c r="O298" s="47" t="n">
        <f aca="false">IF(8&lt;=Inputs!$B$44,MIN(O297,$B$295,1E+099),0)</f>
        <v>0</v>
      </c>
      <c r="P298" s="47" t="n">
        <f aca="false">IF(9&lt;=Inputs!$B$44,MIN(P297,$B$295,1E+099),0)</f>
        <v>0</v>
      </c>
      <c r="Q298" s="47" t="n">
        <f aca="false">IF(10&lt;=Inputs!$B$44,MIN(Q297,$B$295,1E+099),0)</f>
        <v>0</v>
      </c>
      <c r="R298" s="47" t="n">
        <f aca="false">IF(11&lt;=Inputs!$B$44,MIN(R297,$B$295,1E+099),0)</f>
        <v>0</v>
      </c>
      <c r="S298" s="47" t="n">
        <f aca="false">IF(12&lt;=Inputs!$B$44,MIN(S297,$B$295,1E+099),0)</f>
        <v>0</v>
      </c>
      <c r="T298" s="47" t="n">
        <f aca="false">IF(13&lt;=Inputs!$B$44,MIN(T297,$B$295,1E+099),0)</f>
        <v>0</v>
      </c>
      <c r="U298" s="47" t="n">
        <f aca="false">IF(14&lt;=Inputs!$B$44,MIN(U297,$B$295,1E+099),0)</f>
        <v>0</v>
      </c>
      <c r="V298" s="47" t="n">
        <f aca="false">IF(15&lt;=Inputs!$B$44,MIN(V297,$B$295,1E+099),0)</f>
        <v>0</v>
      </c>
      <c r="W298" s="47" t="n">
        <f aca="false">IF(16&lt;=Inputs!$B$44,MIN(W297,$B$295,1E+099),0)</f>
        <v>0</v>
      </c>
      <c r="X298" s="47" t="n">
        <f aca="false">IF(17&lt;=Inputs!$B$44,MIN(X297,$B$295,1E+099),0)</f>
        <v>0</v>
      </c>
      <c r="Y298" s="47" t="n">
        <f aca="false">IF(18&lt;=Inputs!$B$44,MIN(Y297,$B$295,1E+099),0)</f>
        <v>0</v>
      </c>
      <c r="Z298" s="47" t="n">
        <f aca="false">IF(19&lt;=Inputs!$B$44,MIN(Z297,$B$295,1E+099),0)</f>
        <v>0</v>
      </c>
      <c r="AA298" s="47" t="n">
        <f aca="false">IF(20&lt;=Inputs!$B$44,MIN(AA297,$B$295,1E+099),0)</f>
        <v>0</v>
      </c>
      <c r="AB298" s="47" t="n">
        <f aca="false">IF(21&lt;=Inputs!$B$44,MIN(AB297,$B$295,1E+099),0)</f>
        <v>0</v>
      </c>
      <c r="AC298" s="47" t="n">
        <f aca="false">IF(22&lt;=Inputs!$B$44,MIN(AC297,$B$295,1E+099),0)</f>
        <v>0</v>
      </c>
      <c r="AD298" s="47" t="n">
        <f aca="false">IF(23&lt;=Inputs!$B$44,MIN(AD297,$B$295,1E+099),0)</f>
        <v>0</v>
      </c>
      <c r="AE298" s="47" t="n">
        <f aca="false">IF(24&lt;=Inputs!$B$44,MIN(AE297,$B$295,1E+099),0)</f>
        <v>0</v>
      </c>
      <c r="AF298" s="47" t="n">
        <f aca="false">IF(25&lt;=Inputs!$B$44,MIN(AF297,$B$295,1E+099),0)</f>
        <v>0</v>
      </c>
      <c r="AG298" s="47" t="n">
        <f aca="false">IF(26&lt;=Inputs!$B$44,MIN(AG297,$B$295,1E+099),0)</f>
        <v>0</v>
      </c>
      <c r="AH298" s="47" t="n">
        <f aca="false">IF(27&lt;=Inputs!$B$44,MIN(AH297,$B$295,1E+099),0)</f>
        <v>0</v>
      </c>
      <c r="AI298" s="47" t="n">
        <f aca="false">IF(28&lt;=Inputs!$B$44,MIN(AI297,$B$295,1E+099),0)</f>
        <v>0</v>
      </c>
      <c r="AJ298" s="47" t="n">
        <f aca="false">IF(29&lt;=Inputs!$B$44,MIN(AJ297,$B$295,1E+099),0)</f>
        <v>0</v>
      </c>
      <c r="AK298" s="47" t="n">
        <f aca="false">IF(30&lt;=Inputs!$B$44,MIN(AK297,$B$295,1E+099),0)</f>
        <v>0</v>
      </c>
    </row>
    <row r="299" customFormat="false" ht="15" hidden="false" customHeight="false" outlineLevel="0" collapsed="false">
      <c r="A299" s="10" t="s">
        <v>577</v>
      </c>
      <c r="G299" s="47" t="n">
        <f aca="false">$F$249</f>
        <v>0</v>
      </c>
      <c r="H299" s="47" t="n">
        <f aca="false">G299</f>
        <v>0</v>
      </c>
      <c r="I299" s="47" t="n">
        <f aca="false">H299-H300</f>
        <v>0</v>
      </c>
      <c r="J299" s="47" t="n">
        <f aca="false">I299-I300</f>
        <v>0</v>
      </c>
      <c r="K299" s="47" t="n">
        <f aca="false">J299-J300</f>
        <v>0</v>
      </c>
      <c r="L299" s="47" t="n">
        <f aca="false">K299-K300</f>
        <v>0</v>
      </c>
      <c r="M299" s="47" t="n">
        <f aca="false">L299-L300</f>
        <v>0</v>
      </c>
      <c r="N299" s="47" t="n">
        <f aca="false">M299-M300</f>
        <v>0</v>
      </c>
      <c r="O299" s="47" t="n">
        <f aca="false">N299-N300</f>
        <v>0</v>
      </c>
      <c r="P299" s="47" t="n">
        <f aca="false">O299-O300</f>
        <v>0</v>
      </c>
      <c r="Q299" s="47" t="n">
        <f aca="false">P299-P300</f>
        <v>0</v>
      </c>
      <c r="R299" s="47" t="n">
        <f aca="false">Q299-Q300</f>
        <v>0</v>
      </c>
      <c r="S299" s="47" t="n">
        <f aca="false">R299-R300</f>
        <v>0</v>
      </c>
      <c r="T299" s="47" t="n">
        <f aca="false">S299-S300</f>
        <v>0</v>
      </c>
      <c r="U299" s="47" t="n">
        <f aca="false">T299-T300</f>
        <v>0</v>
      </c>
      <c r="V299" s="47" t="n">
        <f aca="false">U299-U300</f>
        <v>0</v>
      </c>
      <c r="W299" s="47" t="n">
        <f aca="false">V299-V300</f>
        <v>0</v>
      </c>
      <c r="X299" s="47" t="n">
        <f aca="false">W299-W300</f>
        <v>0</v>
      </c>
      <c r="Y299" s="47" t="n">
        <f aca="false">X299-X300</f>
        <v>0</v>
      </c>
      <c r="Z299" s="47" t="n">
        <f aca="false">Y299-Y300</f>
        <v>0</v>
      </c>
      <c r="AA299" s="47" t="n">
        <f aca="false">Z299-Z300</f>
        <v>0</v>
      </c>
      <c r="AB299" s="47" t="n">
        <f aca="false">AA299-AA300</f>
        <v>0</v>
      </c>
      <c r="AC299" s="47" t="n">
        <f aca="false">AB299-AB300</f>
        <v>0</v>
      </c>
      <c r="AD299" s="47" t="n">
        <f aca="false">AC299-AC300</f>
        <v>0</v>
      </c>
      <c r="AE299" s="47" t="n">
        <f aca="false">AD299-AD300</f>
        <v>0</v>
      </c>
      <c r="AF299" s="47" t="n">
        <f aca="false">AE299-AE300</f>
        <v>0</v>
      </c>
      <c r="AG299" s="47" t="n">
        <f aca="false">AF299-AF300</f>
        <v>0</v>
      </c>
      <c r="AH299" s="47" t="n">
        <f aca="false">AG299-AG300</f>
        <v>0</v>
      </c>
      <c r="AI299" s="47" t="n">
        <f aca="false">AH299-AH300</f>
        <v>0</v>
      </c>
      <c r="AJ299" s="47" t="n">
        <f aca="false">AI299-AI300</f>
        <v>0</v>
      </c>
      <c r="AK299" s="47" t="n">
        <f aca="false">AJ299-AJ300</f>
        <v>0</v>
      </c>
    </row>
    <row r="300" customFormat="false" ht="15" hidden="false" customHeight="false" outlineLevel="0" collapsed="false">
      <c r="A300" s="10" t="s">
        <v>576</v>
      </c>
      <c r="H300" s="47" t="n">
        <f aca="false">IF(1&lt;=Inputs!$B$44,MIN(H299,$B$295-H298),0)</f>
        <v>0</v>
      </c>
      <c r="I300" s="47" t="n">
        <f aca="false">IF(2&lt;=Inputs!$B$44,MIN(I299,$B$295-I298),0)</f>
        <v>0</v>
      </c>
      <c r="J300" s="47" t="n">
        <f aca="false">IF(3&lt;=Inputs!$B$44,MIN(J299,$B$295-J298),0)</f>
        <v>0</v>
      </c>
      <c r="K300" s="47" t="n">
        <f aca="false">IF(4&lt;=Inputs!$B$44,MIN(K299,$B$295-K298),0)</f>
        <v>0</v>
      </c>
      <c r="L300" s="47" t="n">
        <f aca="false">IF(5&lt;=Inputs!$B$44,MIN(L299,$B$295-L298),0)</f>
        <v>0</v>
      </c>
      <c r="M300" s="47" t="n">
        <f aca="false">IF(6&lt;=Inputs!$B$44,MIN(M299,$B$295-M298),0)</f>
        <v>0</v>
      </c>
      <c r="N300" s="47" t="n">
        <f aca="false">IF(7&lt;=Inputs!$B$44,MIN(N299,$B$295-N298),0)</f>
        <v>0</v>
      </c>
      <c r="O300" s="47" t="n">
        <f aca="false">IF(8&lt;=Inputs!$B$44,MIN(O299,$B$295-O298),0)</f>
        <v>0</v>
      </c>
      <c r="P300" s="47" t="n">
        <f aca="false">IF(9&lt;=Inputs!$B$44,MIN(P299,$B$295-P298),0)</f>
        <v>0</v>
      </c>
      <c r="Q300" s="47" t="n">
        <f aca="false">IF(10&lt;=Inputs!$B$44,MIN(Q299,$B$295-Q298),0)</f>
        <v>0</v>
      </c>
      <c r="R300" s="47" t="n">
        <f aca="false">IF(11&lt;=Inputs!$B$44,MIN(R299,$B$295-R298),0)</f>
        <v>0</v>
      </c>
      <c r="S300" s="47" t="n">
        <f aca="false">IF(12&lt;=Inputs!$B$44,MIN(S299,$B$295-S298),0)</f>
        <v>0</v>
      </c>
      <c r="T300" s="47" t="n">
        <f aca="false">IF(13&lt;=Inputs!$B$44,MIN(T299,$B$295-T298),0)</f>
        <v>0</v>
      </c>
      <c r="U300" s="47" t="n">
        <f aca="false">IF(14&lt;=Inputs!$B$44,MIN(U299,$B$295-U298),0)</f>
        <v>0</v>
      </c>
      <c r="V300" s="47" t="n">
        <f aca="false">IF(15&lt;=Inputs!$B$44,MIN(V299,$B$295-V298),0)</f>
        <v>0</v>
      </c>
      <c r="W300" s="47" t="n">
        <f aca="false">IF(16&lt;=Inputs!$B$44,MIN(W299,$B$295-W298),0)</f>
        <v>0</v>
      </c>
      <c r="X300" s="47" t="n">
        <f aca="false">IF(17&lt;=Inputs!$B$44,MIN(X299,$B$295-X298),0)</f>
        <v>0</v>
      </c>
      <c r="Y300" s="47" t="n">
        <f aca="false">IF(18&lt;=Inputs!$B$44,MIN(Y299,$B$295-Y298),0)</f>
        <v>0</v>
      </c>
      <c r="Z300" s="47" t="n">
        <f aca="false">IF(19&lt;=Inputs!$B$44,MIN(Z299,$B$295-Z298),0)</f>
        <v>0</v>
      </c>
      <c r="AA300" s="47" t="n">
        <f aca="false">IF(20&lt;=Inputs!$B$44,MIN(AA299,$B$295-AA298),0)</f>
        <v>0</v>
      </c>
      <c r="AB300" s="47" t="n">
        <f aca="false">IF(21&lt;=Inputs!$B$44,MIN(AB299,$B$295-AB298),0)</f>
        <v>0</v>
      </c>
      <c r="AC300" s="47" t="n">
        <f aca="false">IF(22&lt;=Inputs!$B$44,MIN(AC299,$B$295-AC298),0)</f>
        <v>0</v>
      </c>
      <c r="AD300" s="47" t="n">
        <f aca="false">IF(23&lt;=Inputs!$B$44,MIN(AD299,$B$295-AD298),0)</f>
        <v>0</v>
      </c>
      <c r="AE300" s="47" t="n">
        <f aca="false">IF(24&lt;=Inputs!$B$44,MIN(AE299,$B$295-AE298),0)</f>
        <v>0</v>
      </c>
      <c r="AF300" s="47" t="n">
        <f aca="false">IF(25&lt;=Inputs!$B$44,MIN(AF299,$B$295-AF298),0)</f>
        <v>0</v>
      </c>
      <c r="AG300" s="47" t="n">
        <f aca="false">IF(26&lt;=Inputs!$B$44,MIN(AG299,$B$295-AG298),0)</f>
        <v>0</v>
      </c>
      <c r="AH300" s="47" t="n">
        <f aca="false">IF(27&lt;=Inputs!$B$44,MIN(AH299,$B$295-AH298),0)</f>
        <v>0</v>
      </c>
      <c r="AI300" s="47" t="n">
        <f aca="false">IF(28&lt;=Inputs!$B$44,MIN(AI299,$B$295-AI298),0)</f>
        <v>0</v>
      </c>
      <c r="AJ300" s="47" t="n">
        <f aca="false">IF(29&lt;=Inputs!$B$44,MIN(AJ299,$B$295-AJ298),0)</f>
        <v>0</v>
      </c>
      <c r="AK300" s="47" t="n">
        <f aca="false">IF(30&lt;=Inputs!$B$44,MIN(AK299,$B$295-AK298),0)</f>
        <v>0</v>
      </c>
    </row>
    <row r="301" customFormat="false" ht="15" hidden="false" customHeight="false" outlineLevel="0" collapsed="false">
      <c r="A301" s="10" t="s">
        <v>578</v>
      </c>
      <c r="H301" s="47" t="n">
        <f aca="false">($B$295-H298-H300)*Inputs!$B$34</f>
        <v>0.674571878410208</v>
      </c>
      <c r="I301" s="47" t="n">
        <f aca="false">($B$295-I298-I300)*Inputs!$B$34</f>
        <v>0.674571878410208</v>
      </c>
      <c r="J301" s="47" t="n">
        <f aca="false">($B$295-J298-J300)*Inputs!$B$34</f>
        <v>0.674571878410208</v>
      </c>
      <c r="K301" s="47" t="n">
        <f aca="false">($B$295-K298-K300)*Inputs!$B$34</f>
        <v>0.674571878410208</v>
      </c>
      <c r="L301" s="47" t="n">
        <f aca="false">($B$295-L298-L300)*Inputs!$B$34</f>
        <v>0.674571878410208</v>
      </c>
      <c r="M301" s="47" t="n">
        <f aca="false">($B$295-M298-M300)*Inputs!$B$34</f>
        <v>0.674571878410208</v>
      </c>
      <c r="N301" s="47" t="n">
        <f aca="false">($B$295-N298-N300)*Inputs!$B$34</f>
        <v>0.674571878410208</v>
      </c>
      <c r="O301" s="47" t="n">
        <f aca="false">($B$295-O298-O300)*Inputs!$B$34</f>
        <v>0.674571878410208</v>
      </c>
      <c r="P301" s="47" t="n">
        <f aca="false">($B$295-P298-P300)*Inputs!$B$34</f>
        <v>0.674571878410208</v>
      </c>
      <c r="Q301" s="47" t="n">
        <f aca="false">($B$295-Q298-Q300)*Inputs!$B$34</f>
        <v>0.674571878410208</v>
      </c>
      <c r="R301" s="47" t="n">
        <f aca="false">($B$295-R298-R300)*Inputs!$B$34</f>
        <v>0.674571878410208</v>
      </c>
      <c r="S301" s="47" t="n">
        <f aca="false">($B$295-S298-S300)*Inputs!$B$34</f>
        <v>0.674571878410208</v>
      </c>
      <c r="T301" s="47" t="n">
        <f aca="false">($B$295-T298-T300)*Inputs!$B$34</f>
        <v>0.674571878410208</v>
      </c>
      <c r="U301" s="47" t="n">
        <f aca="false">($B$295-U298-U300)*Inputs!$B$34</f>
        <v>0.674571878410208</v>
      </c>
      <c r="V301" s="47" t="n">
        <f aca="false">($B$295-V298-V300)*Inputs!$B$34</f>
        <v>0.674571878410208</v>
      </c>
      <c r="W301" s="47" t="n">
        <f aca="false">($B$295-W298-W300)*Inputs!$B$34</f>
        <v>0.674571878410208</v>
      </c>
      <c r="X301" s="47" t="n">
        <f aca="false">($B$295-X298-X300)*Inputs!$B$34</f>
        <v>0.674571878410208</v>
      </c>
      <c r="Y301" s="47" t="n">
        <f aca="false">($B$295-Y298-Y300)*Inputs!$B$34</f>
        <v>0.674571878410208</v>
      </c>
      <c r="Z301" s="47" t="n">
        <f aca="false">($B$295-Z298-Z300)*Inputs!$B$34</f>
        <v>0.674571878410208</v>
      </c>
      <c r="AA301" s="47" t="n">
        <f aca="false">($B$295-AA298-AA300)*Inputs!$B$34</f>
        <v>0.674571878410208</v>
      </c>
      <c r="AB301" s="47" t="n">
        <f aca="false">($B$295-AB298-AB300)*Inputs!$B$34</f>
        <v>0.674571878410208</v>
      </c>
      <c r="AC301" s="47" t="n">
        <f aca="false">($B$295-AC298-AC300)*Inputs!$B$34</f>
        <v>0.674571878410208</v>
      </c>
      <c r="AD301" s="47" t="n">
        <f aca="false">($B$295-AD298-AD300)*Inputs!$B$34</f>
        <v>0.674571878410208</v>
      </c>
      <c r="AE301" s="47" t="n">
        <f aca="false">($B$295-AE298-AE300)*Inputs!$B$34</f>
        <v>0.674571878410208</v>
      </c>
      <c r="AF301" s="47" t="n">
        <f aca="false">($B$295-AF298-AF300)*Inputs!$B$34</f>
        <v>0.674571878410208</v>
      </c>
      <c r="AG301" s="47" t="n">
        <f aca="false">($B$295-AG298-AG300)*Inputs!$B$34</f>
        <v>0.674571878410208</v>
      </c>
      <c r="AH301" s="47" t="n">
        <f aca="false">($B$295-AH298-AH300)*Inputs!$B$34</f>
        <v>0.674571878410208</v>
      </c>
      <c r="AI301" s="47" t="n">
        <f aca="false">($B$295-AI298-AI300)*Inputs!$B$34</f>
        <v>0.674571878410208</v>
      </c>
      <c r="AJ301" s="47" t="n">
        <f aca="false">($B$295-AJ298-AJ300)*Inputs!$B$34</f>
        <v>0.674571878410208</v>
      </c>
      <c r="AK301" s="47" t="n">
        <f aca="false">($B$295-AK298-AK300)*Inputs!$B$34</f>
        <v>0.674571878410208</v>
      </c>
    </row>
    <row r="302" customFormat="false" ht="15" hidden="false" customHeight="false" outlineLevel="0" collapsed="false">
      <c r="A302" s="10" t="s">
        <v>579</v>
      </c>
      <c r="H302" s="47" t="n">
        <f aca="false">$B$295-H301</f>
        <v>16.189725081845</v>
      </c>
      <c r="I302" s="47" t="n">
        <f aca="false">$B$295-I301</f>
        <v>16.189725081845</v>
      </c>
      <c r="J302" s="47" t="n">
        <f aca="false">$B$295-J301</f>
        <v>16.189725081845</v>
      </c>
      <c r="K302" s="47" t="n">
        <f aca="false">$B$295-K301</f>
        <v>16.189725081845</v>
      </c>
      <c r="L302" s="47" t="n">
        <f aca="false">$B$295-L301</f>
        <v>16.189725081845</v>
      </c>
      <c r="M302" s="47" t="n">
        <f aca="false">$B$295-M301</f>
        <v>16.189725081845</v>
      </c>
      <c r="N302" s="47" t="n">
        <f aca="false">$B$295-N301</f>
        <v>16.189725081845</v>
      </c>
      <c r="O302" s="47" t="n">
        <f aca="false">$B$295-O301</f>
        <v>16.189725081845</v>
      </c>
      <c r="P302" s="47" t="n">
        <f aca="false">$B$295-P301</f>
        <v>16.189725081845</v>
      </c>
      <c r="Q302" s="47" t="n">
        <f aca="false">$B$295-Q301</f>
        <v>16.189725081845</v>
      </c>
      <c r="R302" s="47" t="n">
        <f aca="false">$B$295-R301</f>
        <v>16.189725081845</v>
      </c>
      <c r="S302" s="47" t="n">
        <f aca="false">$B$295-S301</f>
        <v>16.189725081845</v>
      </c>
      <c r="T302" s="47" t="n">
        <f aca="false">$B$295-T301</f>
        <v>16.189725081845</v>
      </c>
      <c r="U302" s="47" t="n">
        <f aca="false">$B$295-U301</f>
        <v>16.189725081845</v>
      </c>
      <c r="V302" s="47" t="n">
        <f aca="false">$B$295-V301</f>
        <v>16.189725081845</v>
      </c>
      <c r="W302" s="47" t="n">
        <f aca="false">$B$295-W301</f>
        <v>16.189725081845</v>
      </c>
      <c r="X302" s="47" t="n">
        <f aca="false">$B$295-X301</f>
        <v>16.189725081845</v>
      </c>
      <c r="Y302" s="47" t="n">
        <f aca="false">$B$295-Y301</f>
        <v>16.189725081845</v>
      </c>
      <c r="Z302" s="47" t="n">
        <f aca="false">$B$295-Z301</f>
        <v>16.189725081845</v>
      </c>
      <c r="AA302" s="47" t="n">
        <f aca="false">$B$295-AA301</f>
        <v>16.189725081845</v>
      </c>
      <c r="AB302" s="47" t="n">
        <f aca="false">$B$295-AB301</f>
        <v>16.189725081845</v>
      </c>
      <c r="AC302" s="47" t="n">
        <f aca="false">$B$295-AC301</f>
        <v>16.189725081845</v>
      </c>
      <c r="AD302" s="47" t="n">
        <f aca="false">$B$295-AD301</f>
        <v>16.189725081845</v>
      </c>
      <c r="AE302" s="47" t="n">
        <f aca="false">$B$295-AE301</f>
        <v>16.189725081845</v>
      </c>
      <c r="AF302" s="47" t="n">
        <f aca="false">$B$295-AF301</f>
        <v>16.189725081845</v>
      </c>
      <c r="AG302" s="47" t="n">
        <f aca="false">$B$295-AG301</f>
        <v>16.189725081845</v>
      </c>
      <c r="AH302" s="47" t="n">
        <f aca="false">$B$295-AH301</f>
        <v>16.189725081845</v>
      </c>
      <c r="AI302" s="47" t="n">
        <f aca="false">$B$295-AI301</f>
        <v>16.189725081845</v>
      </c>
      <c r="AJ302" s="47" t="n">
        <f aca="false">$B$295-AJ301</f>
        <v>16.189725081845</v>
      </c>
      <c r="AK302" s="47" t="n">
        <f aca="false">$B$295-AK301</f>
        <v>16.189725081845</v>
      </c>
    </row>
    <row r="303" customFormat="false" ht="15" hidden="false" customHeight="false" outlineLevel="0" collapsed="false">
      <c r="A303" s="10" t="s">
        <v>580</v>
      </c>
      <c r="G303" s="47" t="n">
        <f aca="false">$F$254</f>
        <v>0</v>
      </c>
      <c r="H303" s="47" t="n">
        <f aca="false">G303</f>
        <v>0</v>
      </c>
      <c r="I303" s="47" t="n">
        <f aca="false">H303-H304</f>
        <v>0</v>
      </c>
      <c r="J303" s="47" t="n">
        <f aca="false">I303-I304</f>
        <v>0</v>
      </c>
      <c r="K303" s="47" t="n">
        <f aca="false">J303-J304</f>
        <v>0</v>
      </c>
      <c r="L303" s="47" t="n">
        <f aca="false">K303-K304</f>
        <v>0</v>
      </c>
      <c r="M303" s="47" t="n">
        <f aca="false">L303-L304</f>
        <v>0</v>
      </c>
      <c r="N303" s="47" t="n">
        <f aca="false">M303-M304</f>
        <v>0</v>
      </c>
      <c r="O303" s="47" t="n">
        <f aca="false">N303-N304</f>
        <v>0</v>
      </c>
      <c r="P303" s="47" t="n">
        <f aca="false">O303-O304</f>
        <v>0</v>
      </c>
      <c r="Q303" s="47" t="n">
        <f aca="false">P303-P304</f>
        <v>0</v>
      </c>
      <c r="R303" s="47" t="n">
        <f aca="false">Q303-Q304</f>
        <v>0</v>
      </c>
      <c r="S303" s="47" t="n">
        <f aca="false">R303-R304</f>
        <v>0</v>
      </c>
      <c r="T303" s="47" t="n">
        <f aca="false">S303-S304</f>
        <v>0</v>
      </c>
      <c r="U303" s="47" t="n">
        <f aca="false">T303-T304</f>
        <v>0</v>
      </c>
      <c r="V303" s="47" t="n">
        <f aca="false">U303-U304</f>
        <v>0</v>
      </c>
      <c r="W303" s="47" t="n">
        <f aca="false">V303-V304</f>
        <v>0</v>
      </c>
      <c r="X303" s="47" t="n">
        <f aca="false">W303-W304</f>
        <v>0</v>
      </c>
      <c r="Y303" s="47" t="n">
        <f aca="false">X303-X304</f>
        <v>0</v>
      </c>
      <c r="Z303" s="47" t="n">
        <f aca="false">Y303-Y304</f>
        <v>0</v>
      </c>
      <c r="AA303" s="47" t="n">
        <f aca="false">Z303-Z304</f>
        <v>0</v>
      </c>
      <c r="AB303" s="47" t="n">
        <f aca="false">AA303-AA304</f>
        <v>0</v>
      </c>
      <c r="AC303" s="47" t="n">
        <f aca="false">AB303-AB304</f>
        <v>0</v>
      </c>
      <c r="AD303" s="47" t="n">
        <f aca="false">AC303-AC304</f>
        <v>0</v>
      </c>
      <c r="AE303" s="47" t="n">
        <f aca="false">AD303-AD304</f>
        <v>0</v>
      </c>
      <c r="AF303" s="47" t="n">
        <f aca="false">AE303-AE304</f>
        <v>0</v>
      </c>
      <c r="AG303" s="47" t="n">
        <f aca="false">AF303-AF304</f>
        <v>0</v>
      </c>
      <c r="AH303" s="47" t="n">
        <f aca="false">AG303-AG304</f>
        <v>0</v>
      </c>
      <c r="AI303" s="47" t="n">
        <f aca="false">AH303-AH304</f>
        <v>0</v>
      </c>
      <c r="AJ303" s="47" t="n">
        <f aca="false">AI303-AI304</f>
        <v>0</v>
      </c>
      <c r="AK303" s="47" t="n">
        <f aca="false">AJ303-AJ304</f>
        <v>0</v>
      </c>
    </row>
    <row r="304" customFormat="false" ht="15" hidden="false" customHeight="false" outlineLevel="0" collapsed="false">
      <c r="A304" s="10" t="s">
        <v>581</v>
      </c>
      <c r="H304" s="47" t="n">
        <f aca="false">MIN(H303,Inputs!$B$35*H302,1E+099)</f>
        <v>0</v>
      </c>
      <c r="I304" s="47" t="n">
        <f aca="false">MIN(I303,Inputs!$B$35*I302,1E+099)</f>
        <v>0</v>
      </c>
      <c r="J304" s="47" t="n">
        <f aca="false">MIN(J303,Inputs!$B$35*J302,1E+099)</f>
        <v>0</v>
      </c>
      <c r="K304" s="47" t="n">
        <f aca="false">MIN(K303,Inputs!$B$35*K302,1E+099)</f>
        <v>0</v>
      </c>
      <c r="L304" s="47" t="n">
        <f aca="false">MIN(L303,Inputs!$B$35*L302,1E+099)</f>
        <v>0</v>
      </c>
      <c r="M304" s="47" t="n">
        <f aca="false">MIN(M303,Inputs!$B$35*M302,1E+099)</f>
        <v>0</v>
      </c>
      <c r="N304" s="47" t="n">
        <f aca="false">MIN(N303,Inputs!$B$35*N302,1E+099)</f>
        <v>0</v>
      </c>
      <c r="O304" s="47" t="n">
        <f aca="false">MIN(O303,Inputs!$B$35*O302,1E+099)</f>
        <v>0</v>
      </c>
      <c r="P304" s="47" t="n">
        <f aca="false">MIN(P303,Inputs!$B$35*P302,1E+099)</f>
        <v>0</v>
      </c>
      <c r="Q304" s="47" t="n">
        <f aca="false">MIN(Q303,Inputs!$B$35*Q302,1E+099)</f>
        <v>0</v>
      </c>
      <c r="R304" s="47" t="n">
        <f aca="false">MIN(R303,Inputs!$B$35*R302,1E+099)</f>
        <v>0</v>
      </c>
      <c r="S304" s="47" t="n">
        <f aca="false">MIN(S303,Inputs!$B$35*S302,1E+099)</f>
        <v>0</v>
      </c>
      <c r="T304" s="47" t="n">
        <f aca="false">MIN(T303,Inputs!$B$35*T302,1E+099)</f>
        <v>0</v>
      </c>
      <c r="U304" s="47" t="n">
        <f aca="false">MIN(U303,Inputs!$B$35*U302,1E+099)</f>
        <v>0</v>
      </c>
      <c r="V304" s="47" t="n">
        <f aca="false">MIN(V303,Inputs!$B$35*V302,1E+099)</f>
        <v>0</v>
      </c>
      <c r="W304" s="47" t="n">
        <f aca="false">MIN(W303,Inputs!$B$35*W302,1E+099)</f>
        <v>0</v>
      </c>
      <c r="X304" s="47" t="n">
        <f aca="false">MIN(X303,Inputs!$B$35*X302,1E+099)</f>
        <v>0</v>
      </c>
      <c r="Y304" s="47" t="n">
        <f aca="false">MIN(Y303,Inputs!$B$35*Y302,1E+099)</f>
        <v>0</v>
      </c>
      <c r="Z304" s="47" t="n">
        <f aca="false">MIN(Z303,Inputs!$B$35*Z302,1E+099)</f>
        <v>0</v>
      </c>
      <c r="AA304" s="47" t="n">
        <f aca="false">MIN(AA303,Inputs!$B$35*AA302,1E+099)</f>
        <v>0</v>
      </c>
      <c r="AB304" s="47" t="n">
        <f aca="false">MIN(AB303,Inputs!$B$35*AB302,1E+099)</f>
        <v>0</v>
      </c>
      <c r="AC304" s="47" t="n">
        <f aca="false">MIN(AC303,Inputs!$B$35*AC302,1E+099)</f>
        <v>0</v>
      </c>
      <c r="AD304" s="47" t="n">
        <f aca="false">MIN(AD303,Inputs!$B$35*AD302,1E+099)</f>
        <v>0</v>
      </c>
      <c r="AE304" s="47" t="n">
        <f aca="false">MIN(AE303,Inputs!$B$35*AE302,1E+099)</f>
        <v>0</v>
      </c>
      <c r="AF304" s="47" t="n">
        <f aca="false">MIN(AF303,Inputs!$B$35*AF302,1E+099)</f>
        <v>0</v>
      </c>
      <c r="AG304" s="47" t="n">
        <f aca="false">MIN(AG303,Inputs!$B$35*AG302,1E+099)</f>
        <v>0</v>
      </c>
      <c r="AH304" s="47" t="n">
        <f aca="false">MIN(AH303,Inputs!$B$35*AH302,1E+099)</f>
        <v>0</v>
      </c>
      <c r="AI304" s="47" t="n">
        <f aca="false">MIN(AI303,Inputs!$B$35*AI302,1E+099)</f>
        <v>0</v>
      </c>
      <c r="AJ304" s="47" t="n">
        <f aca="false">MIN(AJ303,Inputs!$B$35*AJ302,1E+099)</f>
        <v>0</v>
      </c>
      <c r="AK304" s="47" t="n">
        <f aca="false">MIN(AK303,Inputs!$B$35*AK302,1E+099)</f>
        <v>0</v>
      </c>
    </row>
    <row r="305" customFormat="false" ht="15" hidden="false" customHeight="false" outlineLevel="0" collapsed="false">
      <c r="A305" s="10" t="s">
        <v>582</v>
      </c>
      <c r="G305" s="47" t="n">
        <f aca="false">$F$255</f>
        <v>0</v>
      </c>
      <c r="H305" s="47" t="n">
        <f aca="false">G305</f>
        <v>0</v>
      </c>
      <c r="I305" s="47" t="n">
        <f aca="false">H305-H306</f>
        <v>0</v>
      </c>
      <c r="J305" s="47" t="n">
        <f aca="false">I305-I306</f>
        <v>0</v>
      </c>
      <c r="K305" s="47" t="n">
        <f aca="false">J305-J306</f>
        <v>0</v>
      </c>
      <c r="L305" s="47" t="n">
        <f aca="false">K305-K306</f>
        <v>0</v>
      </c>
      <c r="M305" s="47" t="n">
        <f aca="false">L305-L306</f>
        <v>0</v>
      </c>
      <c r="N305" s="47" t="n">
        <f aca="false">M305-M306</f>
        <v>0</v>
      </c>
      <c r="O305" s="47" t="n">
        <f aca="false">N305-N306</f>
        <v>0</v>
      </c>
      <c r="P305" s="47" t="n">
        <f aca="false">O305-O306</f>
        <v>0</v>
      </c>
      <c r="Q305" s="47" t="n">
        <f aca="false">P305-P306</f>
        <v>0</v>
      </c>
      <c r="R305" s="47" t="n">
        <f aca="false">Q305-Q306</f>
        <v>0</v>
      </c>
      <c r="S305" s="47" t="n">
        <f aca="false">R305-R306</f>
        <v>0</v>
      </c>
      <c r="T305" s="47" t="n">
        <f aca="false">S305-S306</f>
        <v>0</v>
      </c>
      <c r="U305" s="47" t="n">
        <f aca="false">T305-T306</f>
        <v>0</v>
      </c>
      <c r="V305" s="47" t="n">
        <f aca="false">U305-U306</f>
        <v>0</v>
      </c>
      <c r="W305" s="47" t="n">
        <f aca="false">V305-V306</f>
        <v>0</v>
      </c>
      <c r="X305" s="47" t="n">
        <f aca="false">W305-W306</f>
        <v>0</v>
      </c>
      <c r="Y305" s="47" t="n">
        <f aca="false">X305-X306</f>
        <v>0</v>
      </c>
      <c r="Z305" s="47" t="n">
        <f aca="false">Y305-Y306</f>
        <v>0</v>
      </c>
      <c r="AA305" s="47" t="n">
        <f aca="false">Z305-Z306</f>
        <v>0</v>
      </c>
      <c r="AB305" s="47" t="n">
        <f aca="false">AA305-AA306</f>
        <v>0</v>
      </c>
      <c r="AC305" s="47" t="n">
        <f aca="false">AB305-AB306</f>
        <v>0</v>
      </c>
      <c r="AD305" s="47" t="n">
        <f aca="false">AC305-AC306</f>
        <v>0</v>
      </c>
      <c r="AE305" s="47" t="n">
        <f aca="false">AD305-AD306</f>
        <v>0</v>
      </c>
      <c r="AF305" s="47" t="n">
        <f aca="false">AE305-AE306</f>
        <v>0</v>
      </c>
      <c r="AG305" s="47" t="n">
        <f aca="false">AF305-AF306</f>
        <v>0</v>
      </c>
      <c r="AH305" s="47" t="n">
        <f aca="false">AG305-AG306</f>
        <v>0</v>
      </c>
      <c r="AI305" s="47" t="n">
        <f aca="false">AH305-AH306</f>
        <v>0</v>
      </c>
      <c r="AJ305" s="47" t="n">
        <f aca="false">AI305-AI306</f>
        <v>0</v>
      </c>
      <c r="AK305" s="47" t="n">
        <f aca="false">AJ305-AJ306</f>
        <v>0</v>
      </c>
    </row>
    <row r="306" customFormat="false" ht="15" hidden="false" customHeight="false" outlineLevel="0" collapsed="false">
      <c r="A306" s="10" t="s">
        <v>576</v>
      </c>
      <c r="H306" s="47" t="n">
        <f aca="false">MIN(H305,Inputs!$B$35*H302-H304)</f>
        <v>0</v>
      </c>
      <c r="I306" s="47" t="n">
        <f aca="false">MIN(I305,Inputs!$B$35*I302-I304)</f>
        <v>0</v>
      </c>
      <c r="J306" s="47" t="n">
        <f aca="false">MIN(J305,Inputs!$B$35*J302-J304)</f>
        <v>0</v>
      </c>
      <c r="K306" s="47" t="n">
        <f aca="false">MIN(K305,Inputs!$B$35*K302-K304)</f>
        <v>0</v>
      </c>
      <c r="L306" s="47" t="n">
        <f aca="false">MIN(L305,Inputs!$B$35*L302-L304)</f>
        <v>0</v>
      </c>
      <c r="M306" s="47" t="n">
        <f aca="false">MIN(M305,Inputs!$B$35*M302-M304)</f>
        <v>0</v>
      </c>
      <c r="N306" s="47" t="n">
        <f aca="false">MIN(N305,Inputs!$B$35*N302-N304)</f>
        <v>0</v>
      </c>
      <c r="O306" s="47" t="n">
        <f aca="false">MIN(O305,Inputs!$B$35*O302-O304)</f>
        <v>0</v>
      </c>
      <c r="P306" s="47" t="n">
        <f aca="false">MIN(P305,Inputs!$B$35*P302-P304)</f>
        <v>0</v>
      </c>
      <c r="Q306" s="47" t="n">
        <f aca="false">MIN(Q305,Inputs!$B$35*Q302-Q304)</f>
        <v>0</v>
      </c>
      <c r="R306" s="47" t="n">
        <f aca="false">MIN(R305,Inputs!$B$35*R302-R304)</f>
        <v>0</v>
      </c>
      <c r="S306" s="47" t="n">
        <f aca="false">MIN(S305,Inputs!$B$35*S302-S304)</f>
        <v>0</v>
      </c>
      <c r="T306" s="47" t="n">
        <f aca="false">MIN(T305,Inputs!$B$35*T302-T304)</f>
        <v>0</v>
      </c>
      <c r="U306" s="47" t="n">
        <f aca="false">MIN(U305,Inputs!$B$35*U302-U304)</f>
        <v>0</v>
      </c>
      <c r="V306" s="47" t="n">
        <f aca="false">MIN(V305,Inputs!$B$35*V302-V304)</f>
        <v>0</v>
      </c>
      <c r="W306" s="47" t="n">
        <f aca="false">MIN(W305,Inputs!$B$35*W302-W304)</f>
        <v>0</v>
      </c>
      <c r="X306" s="47" t="n">
        <f aca="false">MIN(X305,Inputs!$B$35*X302-X304)</f>
        <v>0</v>
      </c>
      <c r="Y306" s="47" t="n">
        <f aca="false">MIN(Y305,Inputs!$B$35*Y302-Y304)</f>
        <v>0</v>
      </c>
      <c r="Z306" s="47" t="n">
        <f aca="false">MIN(Z305,Inputs!$B$35*Z302-Z304)</f>
        <v>0</v>
      </c>
      <c r="AA306" s="47" t="n">
        <f aca="false">MIN(AA305,Inputs!$B$35*AA302-AA304)</f>
        <v>0</v>
      </c>
      <c r="AB306" s="47" t="n">
        <f aca="false">MIN(AB305,Inputs!$B$35*AB302-AB304)</f>
        <v>0</v>
      </c>
      <c r="AC306" s="47" t="n">
        <f aca="false">MIN(AC305,Inputs!$B$35*AC302-AC304)</f>
        <v>0</v>
      </c>
      <c r="AD306" s="47" t="n">
        <f aca="false">MIN(AD305,Inputs!$B$35*AD302-AD304)</f>
        <v>0</v>
      </c>
      <c r="AE306" s="47" t="n">
        <f aca="false">MIN(AE305,Inputs!$B$35*AE302-AE304)</f>
        <v>0</v>
      </c>
      <c r="AF306" s="47" t="n">
        <f aca="false">MIN(AF305,Inputs!$B$35*AF302-AF304)</f>
        <v>0</v>
      </c>
      <c r="AG306" s="47" t="n">
        <f aca="false">MIN(AG305,Inputs!$B$35*AG302-AG304)</f>
        <v>0</v>
      </c>
      <c r="AH306" s="47" t="n">
        <f aca="false">MIN(AH305,Inputs!$B$35*AH302-AH304)</f>
        <v>0</v>
      </c>
      <c r="AI306" s="47" t="n">
        <f aca="false">MIN(AI305,Inputs!$B$35*AI302-AI304)</f>
        <v>0</v>
      </c>
      <c r="AJ306" s="47" t="n">
        <f aca="false">MIN(AJ305,Inputs!$B$35*AJ302-AJ304)</f>
        <v>0</v>
      </c>
      <c r="AK306" s="47" t="n">
        <f aca="false">MIN(AK305,Inputs!$B$35*AK302-AK304)</f>
        <v>0</v>
      </c>
    </row>
    <row r="307" customFormat="false" ht="15" hidden="false" customHeight="false" outlineLevel="0" collapsed="false">
      <c r="A307" s="10" t="s">
        <v>583</v>
      </c>
      <c r="H307" s="47" t="n">
        <f aca="false">(H302-H304-H306)*Inputs!$B$33</f>
        <v>3.39984226718745</v>
      </c>
      <c r="I307" s="47" t="n">
        <f aca="false">(I302-I304-I306)*Inputs!$B$33</f>
        <v>3.39984226718745</v>
      </c>
      <c r="J307" s="47" t="n">
        <f aca="false">(J302-J304-J306)*Inputs!$B$33</f>
        <v>3.39984226718745</v>
      </c>
      <c r="K307" s="47" t="n">
        <f aca="false">(K302-K304-K306)*Inputs!$B$33</f>
        <v>3.39984226718745</v>
      </c>
      <c r="L307" s="47" t="n">
        <f aca="false">(L302-L304-L306)*Inputs!$B$33</f>
        <v>3.39984226718745</v>
      </c>
      <c r="M307" s="47" t="n">
        <f aca="false">(M302-M304-M306)*Inputs!$B$33</f>
        <v>3.39984226718745</v>
      </c>
      <c r="N307" s="47" t="n">
        <f aca="false">(N302-N304-N306)*Inputs!$B$33</f>
        <v>3.39984226718745</v>
      </c>
      <c r="O307" s="47" t="n">
        <f aca="false">(O302-O304-O306)*Inputs!$B$33</f>
        <v>3.39984226718745</v>
      </c>
      <c r="P307" s="47" t="n">
        <f aca="false">(P302-P304-P306)*Inputs!$B$33</f>
        <v>3.39984226718745</v>
      </c>
      <c r="Q307" s="47" t="n">
        <f aca="false">(Q302-Q304-Q306)*Inputs!$B$33</f>
        <v>3.39984226718745</v>
      </c>
      <c r="R307" s="47" t="n">
        <f aca="false">(R302-R304-R306)*Inputs!$B$33</f>
        <v>3.39984226718745</v>
      </c>
      <c r="S307" s="47" t="n">
        <f aca="false">(S302-S304-S306)*Inputs!$B$33</f>
        <v>3.39984226718745</v>
      </c>
      <c r="T307" s="47" t="n">
        <f aca="false">(T302-T304-T306)*Inputs!$B$33</f>
        <v>3.39984226718745</v>
      </c>
      <c r="U307" s="47" t="n">
        <f aca="false">(U302-U304-U306)*Inputs!$B$33</f>
        <v>3.39984226718745</v>
      </c>
      <c r="V307" s="47" t="n">
        <f aca="false">(V302-V304-V306)*Inputs!$B$33</f>
        <v>3.39984226718745</v>
      </c>
      <c r="W307" s="47" t="n">
        <f aca="false">(W302-W304-W306)*Inputs!$B$33</f>
        <v>3.39984226718745</v>
      </c>
      <c r="X307" s="47" t="n">
        <f aca="false">(X302-X304-X306)*Inputs!$B$33</f>
        <v>3.39984226718745</v>
      </c>
      <c r="Y307" s="47" t="n">
        <f aca="false">(Y302-Y304-Y306)*Inputs!$B$33</f>
        <v>3.39984226718745</v>
      </c>
      <c r="Z307" s="47" t="n">
        <f aca="false">(Z302-Z304-Z306)*Inputs!$B$33</f>
        <v>3.39984226718745</v>
      </c>
      <c r="AA307" s="47" t="n">
        <f aca="false">(AA302-AA304-AA306)*Inputs!$B$33</f>
        <v>3.39984226718745</v>
      </c>
      <c r="AB307" s="47" t="n">
        <f aca="false">(AB302-AB304-AB306)*Inputs!$B$33</f>
        <v>3.39984226718745</v>
      </c>
      <c r="AC307" s="47" t="n">
        <f aca="false">(AC302-AC304-AC306)*Inputs!$B$33</f>
        <v>3.39984226718745</v>
      </c>
      <c r="AD307" s="47" t="n">
        <f aca="false">(AD302-AD304-AD306)*Inputs!$B$33</f>
        <v>3.39984226718745</v>
      </c>
      <c r="AE307" s="47" t="n">
        <f aca="false">(AE302-AE304-AE306)*Inputs!$B$33</f>
        <v>3.39984226718745</v>
      </c>
      <c r="AF307" s="47" t="n">
        <f aca="false">(AF302-AF304-AF306)*Inputs!$B$33</f>
        <v>3.39984226718745</v>
      </c>
      <c r="AG307" s="47" t="n">
        <f aca="false">(AG302-AG304-AG306)*Inputs!$B$33</f>
        <v>3.39984226718745</v>
      </c>
      <c r="AH307" s="47" t="n">
        <f aca="false">(AH302-AH304-AH306)*Inputs!$B$33</f>
        <v>3.39984226718745</v>
      </c>
      <c r="AI307" s="47" t="n">
        <f aca="false">(AI302-AI304-AI306)*Inputs!$B$33</f>
        <v>3.39984226718745</v>
      </c>
      <c r="AJ307" s="47" t="n">
        <f aca="false">(AJ302-AJ304-AJ306)*Inputs!$B$33</f>
        <v>3.39984226718745</v>
      </c>
      <c r="AK307" s="47" t="n">
        <f aca="false">(AK302-AK304-AK306)*Inputs!$B$33</f>
        <v>3.39984226718745</v>
      </c>
    </row>
    <row r="308" customFormat="false" ht="15" hidden="false" customHeight="false" outlineLevel="0" collapsed="false">
      <c r="A308" s="10" t="s">
        <v>584</v>
      </c>
      <c r="G308" s="47" t="n">
        <f aca="false">$F$258</f>
        <v>0</v>
      </c>
      <c r="H308" s="47" t="n">
        <f aca="false">G308</f>
        <v>0</v>
      </c>
      <c r="I308" s="47" t="n">
        <f aca="false">H308-H309</f>
        <v>0</v>
      </c>
      <c r="J308" s="47" t="n">
        <f aca="false">I308-I309</f>
        <v>0</v>
      </c>
      <c r="K308" s="47" t="n">
        <f aca="false">J308-J309</f>
        <v>0</v>
      </c>
      <c r="L308" s="47" t="n">
        <f aca="false">K308-K309</f>
        <v>0</v>
      </c>
      <c r="M308" s="47" t="n">
        <f aca="false">L308-L309</f>
        <v>0</v>
      </c>
      <c r="N308" s="47" t="n">
        <f aca="false">M308-M309</f>
        <v>0</v>
      </c>
      <c r="O308" s="47" t="n">
        <f aca="false">N308-N309</f>
        <v>0</v>
      </c>
      <c r="P308" s="47" t="n">
        <f aca="false">O308-O309</f>
        <v>0</v>
      </c>
      <c r="Q308" s="47" t="n">
        <f aca="false">P308-P309</f>
        <v>0</v>
      </c>
      <c r="R308" s="47" t="n">
        <f aca="false">Q308-Q309</f>
        <v>0</v>
      </c>
      <c r="S308" s="47" t="n">
        <f aca="false">R308-R309</f>
        <v>0</v>
      </c>
      <c r="T308" s="47" t="n">
        <f aca="false">S308-S309</f>
        <v>0</v>
      </c>
      <c r="U308" s="47" t="n">
        <f aca="false">T308-T309</f>
        <v>0</v>
      </c>
      <c r="V308" s="47" t="n">
        <f aca="false">U308-U309</f>
        <v>0</v>
      </c>
      <c r="W308" s="47" t="n">
        <f aca="false">V308-V309</f>
        <v>0</v>
      </c>
      <c r="X308" s="47" t="n">
        <f aca="false">W308-W309</f>
        <v>0</v>
      </c>
      <c r="Y308" s="47" t="n">
        <f aca="false">X308-X309</f>
        <v>0</v>
      </c>
      <c r="Z308" s="47" t="n">
        <f aca="false">Y308-Y309</f>
        <v>0</v>
      </c>
      <c r="AA308" s="47" t="n">
        <f aca="false">Z308-Z309</f>
        <v>0</v>
      </c>
      <c r="AB308" s="47" t="n">
        <f aca="false">AA308-AA309</f>
        <v>0</v>
      </c>
      <c r="AC308" s="47" t="n">
        <f aca="false">AB308-AB309</f>
        <v>0</v>
      </c>
      <c r="AD308" s="47" t="n">
        <f aca="false">AC308-AC309</f>
        <v>0</v>
      </c>
      <c r="AE308" s="47" t="n">
        <f aca="false">AD308-AD309</f>
        <v>0</v>
      </c>
      <c r="AF308" s="47" t="n">
        <f aca="false">AE308-AE309</f>
        <v>0</v>
      </c>
      <c r="AG308" s="47" t="n">
        <f aca="false">AF308-AF309</f>
        <v>0</v>
      </c>
      <c r="AH308" s="47" t="n">
        <f aca="false">AG308-AG309</f>
        <v>0</v>
      </c>
      <c r="AI308" s="47" t="n">
        <f aca="false">AH308-AH309</f>
        <v>0</v>
      </c>
      <c r="AJ308" s="47" t="n">
        <f aca="false">AI308-AI309</f>
        <v>0</v>
      </c>
      <c r="AK308" s="47" t="n">
        <f aca="false">AJ308-AJ309</f>
        <v>0</v>
      </c>
    </row>
    <row r="309" customFormat="false" ht="15" hidden="false" customHeight="false" outlineLevel="0" collapsed="false">
      <c r="A309" s="10" t="s">
        <v>585</v>
      </c>
      <c r="H309" s="47" t="n">
        <f aca="false">IF(1&lt;=Inputs!$B$43,MIN(H308,H307,MAX(0,1E+099-H304)*Inputs!$B$33),0)</f>
        <v>0</v>
      </c>
      <c r="I309" s="47" t="n">
        <f aca="false">IF(2&lt;=Inputs!$B$43,MIN(I308,I307,MAX(0,1E+099-I304)*Inputs!$B$33),0)</f>
        <v>0</v>
      </c>
      <c r="J309" s="47" t="n">
        <f aca="false">IF(3&lt;=Inputs!$B$43,MIN(J308,J307,MAX(0,1E+099-J304)*Inputs!$B$33),0)</f>
        <v>0</v>
      </c>
      <c r="K309" s="47" t="n">
        <f aca="false">IF(4&lt;=Inputs!$B$43,MIN(K308,K307,MAX(0,1E+099-K304)*Inputs!$B$33),0)</f>
        <v>0</v>
      </c>
      <c r="L309" s="47" t="n">
        <f aca="false">IF(5&lt;=Inputs!$B$43,MIN(L308,L307,MAX(0,1E+099-L304)*Inputs!$B$33),0)</f>
        <v>0</v>
      </c>
      <c r="M309" s="47" t="n">
        <f aca="false">IF(6&lt;=Inputs!$B$43,MIN(M308,M307,MAX(0,1E+099-M304)*Inputs!$B$33),0)</f>
        <v>0</v>
      </c>
      <c r="N309" s="47" t="n">
        <f aca="false">IF(7&lt;=Inputs!$B$43,MIN(N308,N307,MAX(0,1E+099-N304)*Inputs!$B$33),0)</f>
        <v>0</v>
      </c>
      <c r="O309" s="47" t="n">
        <f aca="false">IF(8&lt;=Inputs!$B$43,MIN(O308,O307,MAX(0,1E+099-O304)*Inputs!$B$33),0)</f>
        <v>0</v>
      </c>
      <c r="P309" s="47" t="n">
        <f aca="false">IF(9&lt;=Inputs!$B$43,MIN(P308,P307,MAX(0,1E+099-P304)*Inputs!$B$33),0)</f>
        <v>0</v>
      </c>
      <c r="Q309" s="47" t="n">
        <f aca="false">IF(10&lt;=Inputs!$B$43,MIN(Q308,Q307,MAX(0,1E+099-Q304)*Inputs!$B$33),0)</f>
        <v>0</v>
      </c>
      <c r="R309" s="47" t="n">
        <f aca="false">IF(11&lt;=Inputs!$B$43,MIN(R308,R307,MAX(0,1E+099-R304)*Inputs!$B$33),0)</f>
        <v>0</v>
      </c>
      <c r="S309" s="47" t="n">
        <f aca="false">IF(12&lt;=Inputs!$B$43,MIN(S308,S307,MAX(0,1E+099-S304)*Inputs!$B$33),0)</f>
        <v>0</v>
      </c>
      <c r="T309" s="47" t="n">
        <f aca="false">IF(13&lt;=Inputs!$B$43,MIN(T308,T307,MAX(0,1E+099-T304)*Inputs!$B$33),0)</f>
        <v>0</v>
      </c>
      <c r="U309" s="47" t="n">
        <f aca="false">IF(14&lt;=Inputs!$B$43,MIN(U308,U307,MAX(0,1E+099-U304)*Inputs!$B$33),0)</f>
        <v>0</v>
      </c>
      <c r="V309" s="47" t="n">
        <f aca="false">IF(15&lt;=Inputs!$B$43,MIN(V308,V307,MAX(0,1E+099-V304)*Inputs!$B$33),0)</f>
        <v>0</v>
      </c>
      <c r="W309" s="47" t="n">
        <f aca="false">IF(16&lt;=Inputs!$B$43,MIN(W308,W307,MAX(0,1E+099-W304)*Inputs!$B$33),0)</f>
        <v>0</v>
      </c>
      <c r="X309" s="47" t="n">
        <f aca="false">IF(17&lt;=Inputs!$B$43,MIN(X308,X307,MAX(0,1E+099-X304)*Inputs!$B$33),0)</f>
        <v>0</v>
      </c>
      <c r="Y309" s="47" t="n">
        <f aca="false">IF(18&lt;=Inputs!$B$43,MIN(Y308,Y307,MAX(0,1E+099-Y304)*Inputs!$B$33),0)</f>
        <v>0</v>
      </c>
      <c r="Z309" s="47" t="n">
        <f aca="false">IF(19&lt;=Inputs!$B$43,MIN(Z308,Z307,MAX(0,1E+099-Z304)*Inputs!$B$33),0)</f>
        <v>0</v>
      </c>
      <c r="AA309" s="47" t="n">
        <f aca="false">IF(20&lt;=Inputs!$B$43,MIN(AA308,AA307,MAX(0,1E+099-AA304)*Inputs!$B$33),0)</f>
        <v>0</v>
      </c>
      <c r="AB309" s="47" t="n">
        <f aca="false">IF(21&lt;=Inputs!$B$43,MIN(AB308,AB307,MAX(0,1E+099-AB304)*Inputs!$B$33),0)</f>
        <v>0</v>
      </c>
      <c r="AC309" s="47" t="n">
        <f aca="false">IF(22&lt;=Inputs!$B$43,MIN(AC308,AC307,MAX(0,1E+099-AC304)*Inputs!$B$33),0)</f>
        <v>0</v>
      </c>
      <c r="AD309" s="47" t="n">
        <f aca="false">IF(23&lt;=Inputs!$B$43,MIN(AD308,AD307,MAX(0,1E+099-AD304)*Inputs!$B$33),0)</f>
        <v>0</v>
      </c>
      <c r="AE309" s="47" t="n">
        <f aca="false">IF(24&lt;=Inputs!$B$43,MIN(AE308,AE307,MAX(0,1E+099-AE304)*Inputs!$B$33),0)</f>
        <v>0</v>
      </c>
      <c r="AF309" s="47" t="n">
        <f aca="false">IF(25&lt;=Inputs!$B$43,MIN(AF308,AF307,MAX(0,1E+099-AF304)*Inputs!$B$33),0)</f>
        <v>0</v>
      </c>
      <c r="AG309" s="47" t="n">
        <f aca="false">IF(26&lt;=Inputs!$B$43,MIN(AG308,AG307,MAX(0,1E+099-AG304)*Inputs!$B$33),0)</f>
        <v>0</v>
      </c>
      <c r="AH309" s="47" t="n">
        <f aca="false">IF(27&lt;=Inputs!$B$43,MIN(AH308,AH307,MAX(0,1E+099-AH304)*Inputs!$B$33),0)</f>
        <v>0</v>
      </c>
      <c r="AI309" s="47" t="n">
        <f aca="false">IF(28&lt;=Inputs!$B$43,MIN(AI308,AI307,MAX(0,1E+099-AI304)*Inputs!$B$33),0)</f>
        <v>0</v>
      </c>
      <c r="AJ309" s="47" t="n">
        <f aca="false">IF(29&lt;=Inputs!$B$43,MIN(AJ308,AJ307,MAX(0,1E+099-AJ304)*Inputs!$B$33),0)</f>
        <v>0</v>
      </c>
      <c r="AK309" s="47" t="n">
        <f aca="false">IF(30&lt;=Inputs!$B$43,MIN(AK308,AK307,MAX(0,1E+099-AK304)*Inputs!$B$33),0)</f>
        <v>0</v>
      </c>
    </row>
    <row r="310" customFormat="false" ht="15" hidden="false" customHeight="false" outlineLevel="0" collapsed="false">
      <c r="A310" s="10" t="s">
        <v>586</v>
      </c>
      <c r="H310" s="47" t="n">
        <f aca="false">($B$295*Inputs!$B$34+($B$295-$B$295*Inputs!$B$34)*Inputs!$B$33)-(H301+H307-H309)</f>
        <v>0</v>
      </c>
      <c r="I310" s="47" t="n">
        <f aca="false">($B$295*Inputs!$B$34+($B$295-$B$295*Inputs!$B$34)*Inputs!$B$33)-(I301+I307-I309)</f>
        <v>0</v>
      </c>
      <c r="J310" s="47" t="n">
        <f aca="false">($B$295*Inputs!$B$34+($B$295-$B$295*Inputs!$B$34)*Inputs!$B$33)-(J301+J307-J309)</f>
        <v>0</v>
      </c>
      <c r="K310" s="47" t="n">
        <f aca="false">($B$295*Inputs!$B$34+($B$295-$B$295*Inputs!$B$34)*Inputs!$B$33)-(K301+K307-K309)</f>
        <v>0</v>
      </c>
      <c r="L310" s="47" t="n">
        <f aca="false">($B$295*Inputs!$B$34+($B$295-$B$295*Inputs!$B$34)*Inputs!$B$33)-(L301+L307-L309)</f>
        <v>0</v>
      </c>
      <c r="M310" s="47" t="n">
        <f aca="false">($B$295*Inputs!$B$34+($B$295-$B$295*Inputs!$B$34)*Inputs!$B$33)-(M301+M307-M309)</f>
        <v>0</v>
      </c>
      <c r="N310" s="47" t="n">
        <f aca="false">($B$295*Inputs!$B$34+($B$295-$B$295*Inputs!$B$34)*Inputs!$B$33)-(N301+N307-N309)</f>
        <v>0</v>
      </c>
      <c r="O310" s="47" t="n">
        <f aca="false">($B$295*Inputs!$B$34+($B$295-$B$295*Inputs!$B$34)*Inputs!$B$33)-(O301+O307-O309)</f>
        <v>0</v>
      </c>
      <c r="P310" s="47" t="n">
        <f aca="false">($B$295*Inputs!$B$34+($B$295-$B$295*Inputs!$B$34)*Inputs!$B$33)-(P301+P307-P309)</f>
        <v>0</v>
      </c>
      <c r="Q310" s="47" t="n">
        <f aca="false">($B$295*Inputs!$B$34+($B$295-$B$295*Inputs!$B$34)*Inputs!$B$33)-(Q301+Q307-Q309)</f>
        <v>0</v>
      </c>
      <c r="R310" s="47" t="n">
        <f aca="false">($B$295*Inputs!$B$34+($B$295-$B$295*Inputs!$B$34)*Inputs!$B$33)-(R301+R307-R309)</f>
        <v>0</v>
      </c>
      <c r="S310" s="47" t="n">
        <f aca="false">($B$295*Inputs!$B$34+($B$295-$B$295*Inputs!$B$34)*Inputs!$B$33)-(S301+S307-S309)</f>
        <v>0</v>
      </c>
      <c r="T310" s="47" t="n">
        <f aca="false">($B$295*Inputs!$B$34+($B$295-$B$295*Inputs!$B$34)*Inputs!$B$33)-(T301+T307-T309)</f>
        <v>0</v>
      </c>
      <c r="U310" s="47" t="n">
        <f aca="false">($B$295*Inputs!$B$34+($B$295-$B$295*Inputs!$B$34)*Inputs!$B$33)-(U301+U307-U309)</f>
        <v>0</v>
      </c>
      <c r="V310" s="47" t="n">
        <f aca="false">($B$295*Inputs!$B$34+($B$295-$B$295*Inputs!$B$34)*Inputs!$B$33)-(V301+V307-V309)</f>
        <v>0</v>
      </c>
      <c r="W310" s="47" t="n">
        <f aca="false">($B$295*Inputs!$B$34+($B$295-$B$295*Inputs!$B$34)*Inputs!$B$33)-(W301+W307-W309)</f>
        <v>0</v>
      </c>
      <c r="X310" s="47" t="n">
        <f aca="false">($B$295*Inputs!$B$34+($B$295-$B$295*Inputs!$B$34)*Inputs!$B$33)-(X301+X307-X309)</f>
        <v>0</v>
      </c>
      <c r="Y310" s="47" t="n">
        <f aca="false">($B$295*Inputs!$B$34+($B$295-$B$295*Inputs!$B$34)*Inputs!$B$33)-(Y301+Y307-Y309)</f>
        <v>0</v>
      </c>
      <c r="Z310" s="47" t="n">
        <f aca="false">($B$295*Inputs!$B$34+($B$295-$B$295*Inputs!$B$34)*Inputs!$B$33)-(Z301+Z307-Z309)</f>
        <v>0</v>
      </c>
      <c r="AA310" s="47" t="n">
        <f aca="false">($B$295*Inputs!$B$34+($B$295-$B$295*Inputs!$B$34)*Inputs!$B$33)-(AA301+AA307-AA309)</f>
        <v>0</v>
      </c>
      <c r="AB310" s="47" t="n">
        <f aca="false">($B$295*Inputs!$B$34+($B$295-$B$295*Inputs!$B$34)*Inputs!$B$33)-(AB301+AB307-AB309)</f>
        <v>0</v>
      </c>
      <c r="AC310" s="47" t="n">
        <f aca="false">($B$295*Inputs!$B$34+($B$295-$B$295*Inputs!$B$34)*Inputs!$B$33)-(AC301+AC307-AC309)</f>
        <v>0</v>
      </c>
      <c r="AD310" s="47" t="n">
        <f aca="false">($B$295*Inputs!$B$34+($B$295-$B$295*Inputs!$B$34)*Inputs!$B$33)-(AD301+AD307-AD309)</f>
        <v>0</v>
      </c>
      <c r="AE310" s="47" t="n">
        <f aca="false">($B$295*Inputs!$B$34+($B$295-$B$295*Inputs!$B$34)*Inputs!$B$33)-(AE301+AE307-AE309)</f>
        <v>0</v>
      </c>
      <c r="AF310" s="47" t="n">
        <f aca="false">($B$295*Inputs!$B$34+($B$295-$B$295*Inputs!$B$34)*Inputs!$B$33)-(AF301+AF307-AF309)</f>
        <v>0</v>
      </c>
      <c r="AG310" s="47" t="n">
        <f aca="false">($B$295*Inputs!$B$34+($B$295-$B$295*Inputs!$B$34)*Inputs!$B$33)-(AG301+AG307-AG309)</f>
        <v>0</v>
      </c>
      <c r="AH310" s="47" t="n">
        <f aca="false">($B$295*Inputs!$B$34+($B$295-$B$295*Inputs!$B$34)*Inputs!$B$33)-(AH301+AH307-AH309)</f>
        <v>0</v>
      </c>
      <c r="AI310" s="47" t="n">
        <f aca="false">($B$295*Inputs!$B$34+($B$295-$B$295*Inputs!$B$34)*Inputs!$B$33)-(AI301+AI307-AI309)</f>
        <v>0</v>
      </c>
      <c r="AJ310" s="47" t="n">
        <f aca="false">($B$295*Inputs!$B$34+($B$295-$B$295*Inputs!$B$34)*Inputs!$B$33)-(AJ301+AJ307-AJ309)</f>
        <v>0</v>
      </c>
      <c r="AK310" s="47" t="n">
        <f aca="false">($B$295*Inputs!$B$34+($B$295-$B$295*Inputs!$B$34)*Inputs!$B$33)-(AK301+AK307-AK309)</f>
        <v>0</v>
      </c>
    </row>
    <row r="311" customFormat="false" ht="15" hidden="false" customHeight="false" outlineLevel="0" collapsed="false">
      <c r="A311" s="10" t="s">
        <v>587</v>
      </c>
      <c r="B311" s="47" t="n">
        <f aca="false">SUMPRODUCT($H$310:$AK$310,$H$296:$AK$296)</f>
        <v>0</v>
      </c>
    </row>
    <row r="312" customFormat="false" ht="15" hidden="false" customHeight="false" outlineLevel="0" collapsed="false">
      <c r="A312" s="10" t="s">
        <v>588</v>
      </c>
      <c r="B312" s="47" t="n">
        <f aca="false">Inputs!$B$42*$B$311*$F$527</f>
        <v>0</v>
      </c>
    </row>
    <row r="313" customFormat="false" ht="15" hidden="false" customHeight="false" outlineLevel="0" collapsed="false">
      <c r="A313" s="10" t="s">
        <v>589</v>
      </c>
      <c r="B313" s="47" t="n">
        <f aca="false">$B$279</f>
        <v>33.3730954773869</v>
      </c>
    </row>
    <row r="314" customFormat="false" ht="15" hidden="false" customHeight="false" outlineLevel="0" collapsed="false">
      <c r="A314" s="10" t="s">
        <v>590</v>
      </c>
      <c r="B314" s="47" t="n">
        <f aca="false">Inputs!$B$18*IF(ISNUMBER($B$110),$B$110,Inputs!$B$12)</f>
        <v>6.18797520749616</v>
      </c>
    </row>
    <row r="315" customFormat="false" ht="15" hidden="false" customHeight="false" outlineLevel="0" collapsed="false">
      <c r="A315" s="10" t="s">
        <v>591</v>
      </c>
      <c r="B315" s="47" t="n">
        <f aca="false">SUMPRODUCT($C$274:$F$274,$C$527:$F$527)</f>
        <v>0</v>
      </c>
    </row>
    <row r="316" customFormat="false" ht="15" hidden="false" customHeight="false" outlineLevel="0" collapsed="false">
      <c r="A316" s="13" t="s">
        <v>592</v>
      </c>
      <c r="B316" s="18" t="n">
        <f aca="false">$B$294+$B$312+$B$313+$B$314-$B$315</f>
        <v>497.57303067065</v>
      </c>
    </row>
    <row r="317" customFormat="false" ht="15" hidden="false" customHeight="false" outlineLevel="0" collapsed="false">
      <c r="A317" s="10" t="s">
        <v>593</v>
      </c>
      <c r="B317" s="25" t="n">
        <f aca="false">Historicals!$B$89+Inputs!$B$17</f>
        <v>3.967329173</v>
      </c>
    </row>
    <row r="318" customFormat="false" ht="15" hidden="false" customHeight="false" outlineLevel="0" collapsed="false">
      <c r="A318" s="10" t="s">
        <v>594</v>
      </c>
      <c r="B318" s="32" t="n">
        <f aca="false">IFERROR(($B$316-$B$273*(1-Inputs!$B$70))/$B$317,0)</f>
        <v>125.417632108</v>
      </c>
    </row>
    <row r="319" customFormat="false" ht="15" hidden="false" customHeight="false" outlineLevel="0" collapsed="false">
      <c r="A319" s="10" t="s">
        <v>595</v>
      </c>
      <c r="B319" s="25" t="n">
        <f aca="false">IF($B$318&gt;0,$B$273/($B$318*(1-Inputs!$B$71)),0)</f>
        <v>0</v>
      </c>
    </row>
    <row r="320" customFormat="false" ht="15" hidden="false" customHeight="false" outlineLevel="0" collapsed="false">
      <c r="A320" s="10" t="s">
        <v>596</v>
      </c>
      <c r="B320" s="32" t="n">
        <f aca="false">IFERROR($B$316/($B$317+$B$319),0)</f>
        <v>125.417632108</v>
      </c>
    </row>
    <row r="321" customFormat="false" ht="15" hidden="false" customHeight="false" outlineLevel="0" collapsed="false">
      <c r="A321" s="10" t="s">
        <v>597</v>
      </c>
      <c r="B321" s="47" t="n">
        <f aca="false">SUMPRODUCT($C$273:$F$273,$C$527:$F$527)</f>
        <v>0</v>
      </c>
    </row>
    <row r="322" customFormat="false" ht="15" hidden="false" customHeight="false" outlineLevel="0" collapsed="false">
      <c r="A322" s="10" t="s">
        <v>598</v>
      </c>
      <c r="B322" s="25" t="n">
        <f aca="false">IF($B$320&gt;0,$B$319+$B$321/($B$320*(1-Inputs!$B$71)),0)</f>
        <v>0</v>
      </c>
    </row>
    <row r="323" customFormat="false" ht="15" hidden="false" customHeight="false" outlineLevel="0" collapsed="false">
      <c r="A323" s="13" t="s">
        <v>599</v>
      </c>
      <c r="B323" s="15" t="n">
        <f aca="false">IFERROR(($B$316+$B$321)/($B$317+$B$322),0)</f>
        <v>125.417632108</v>
      </c>
    </row>
    <row r="324" customFormat="false" ht="15" hidden="false" customHeight="false" outlineLevel="0" collapsed="false">
      <c r="A324" s="10" t="s">
        <v>600</v>
      </c>
      <c r="B324" s="49" t="str">
        <f aca="false">IF($F$281&gt;Inputs!$B$73,"Not meaningful: funding need above limit",IF(OR($B$285&lt;=0,$B$290&lt;=0),"Not meaningful: 2030 profit or cash flow negative",IF(OR($B$289&lt;=0,$B$293&lt;=0),"Not meaningful: a method gives zero or negative value",IF($B$316&lt;=0,"Not meaningful: value at or below zero","OK"))))</f>
        <v>OK</v>
      </c>
    </row>
    <row r="325" customFormat="false" ht="15" hidden="false" customHeight="false" outlineLevel="0" collapsed="false">
      <c r="A325" s="13" t="s">
        <v>601</v>
      </c>
      <c r="B325" s="15" t="n">
        <f aca="false">IF($B$324="OK",$B$323,"unresolved")</f>
        <v>125.417632108</v>
      </c>
    </row>
    <row r="326" customFormat="false" ht="15" hidden="false" customHeight="false" outlineLevel="0" collapsed="false">
      <c r="A326" s="10" t="s">
        <v>602</v>
      </c>
      <c r="B326" s="47" t="n">
        <f aca="false">IF(ISNUMBER($B$325),$B$325*$B$317,"unresolved")</f>
        <v>497.57303067065</v>
      </c>
    </row>
    <row r="327" customFormat="false" ht="15" hidden="false" customHeight="false" outlineLevel="0" collapsed="false">
      <c r="A327" s="10" t="s">
        <v>603</v>
      </c>
      <c r="B327" s="47" t="n">
        <f aca="false">IFERROR($B$316-$B$273*(1-Inputs!$B$70)-$B$326,"n/a")</f>
        <v>0</v>
      </c>
    </row>
    <row r="329" customFormat="false" ht="15" hidden="false" customHeight="false" outlineLevel="0" collapsed="false">
      <c r="A329" s="8" t="s">
        <v>626</v>
      </c>
      <c r="B329" s="9" t="s">
        <v>495</v>
      </c>
      <c r="C329" s="9" t="s">
        <v>496</v>
      </c>
      <c r="D329" s="9" t="s">
        <v>497</v>
      </c>
      <c r="E329" s="9" t="s">
        <v>498</v>
      </c>
      <c r="F329" s="9" t="s">
        <v>499</v>
      </c>
    </row>
    <row r="330" customFormat="false" ht="15" hidden="false" customHeight="false" outlineLevel="0" collapsed="false">
      <c r="A330" s="10" t="s">
        <v>605</v>
      </c>
      <c r="B330" s="47" t="n">
        <f aca="false">Historicals!$C$73+Inputs!$D$120</f>
        <v>79.81</v>
      </c>
      <c r="C330" s="47" t="n">
        <f aca="false">B330*(1+Inputs!$D$124)</f>
        <v>86.1948</v>
      </c>
      <c r="D330" s="47" t="n">
        <f aca="false">C330*(1+Inputs!$D$125)</f>
        <v>94.81428</v>
      </c>
      <c r="E330" s="47" t="n">
        <f aca="false">D330*(1+Inputs!$D$126)</f>
        <v>104.295708</v>
      </c>
      <c r="F330" s="47" t="n">
        <f aca="false">E330*(1+Inputs!$D$127)</f>
        <v>114.7252788</v>
      </c>
    </row>
    <row r="331" customFormat="false" ht="15" hidden="false" customHeight="false" outlineLevel="0" collapsed="false">
      <c r="A331" s="10" t="s">
        <v>606</v>
      </c>
      <c r="B331" s="47" t="n">
        <f aca="false">Historicals!$C$74+Inputs!$D$121</f>
        <v>12.128</v>
      </c>
      <c r="C331" s="47" t="n">
        <f aca="false">B331*(1+Inputs!$D$128)</f>
        <v>15.7664</v>
      </c>
      <c r="D331" s="47" t="n">
        <f aca="false">C331*(1+Inputs!$D$129)</f>
        <v>20.49632</v>
      </c>
      <c r="E331" s="47" t="n">
        <f aca="false">D331*(1+Inputs!$D$130)</f>
        <v>26.645216</v>
      </c>
      <c r="F331" s="47" t="n">
        <f aca="false">E331*(1+Inputs!$D$131)</f>
        <v>34.6387808</v>
      </c>
    </row>
    <row r="332" customFormat="false" ht="15" hidden="false" customHeight="false" outlineLevel="0" collapsed="false">
      <c r="A332" s="10" t="s">
        <v>607</v>
      </c>
      <c r="B332" s="47" t="n">
        <f aca="false">Historicals!$C$75+Inputs!$D$122</f>
        <v>18.031</v>
      </c>
      <c r="C332" s="47" t="n">
        <f aca="false">B332*(1+Inputs!$D$132)</f>
        <v>22.53875</v>
      </c>
      <c r="D332" s="47" t="n">
        <f aca="false">C332*(1+Inputs!$D$133)</f>
        <v>28.1734375</v>
      </c>
      <c r="E332" s="47" t="n">
        <f aca="false">D332*(1+Inputs!$D$134)</f>
        <v>35.216796875</v>
      </c>
      <c r="F332" s="47" t="n">
        <f aca="false">E332*(1+Inputs!$D$135)</f>
        <v>44.02099609375</v>
      </c>
    </row>
    <row r="333" customFormat="false" ht="15" hidden="false" customHeight="false" outlineLevel="0" collapsed="false">
      <c r="A333" s="10" t="s">
        <v>608</v>
      </c>
      <c r="B333" s="26" t="n">
        <v>0</v>
      </c>
      <c r="C333" s="47" t="n">
        <f aca="false">Inputs!$D$151*Inputs!$D$136</f>
        <v>3.14191375381719</v>
      </c>
      <c r="D333" s="47" t="n">
        <f aca="false">Inputs!$D$151*Inputs!$D$137</f>
        <v>12.5676550152688</v>
      </c>
      <c r="E333" s="47" t="n">
        <f aca="false">Inputs!$D$151*Inputs!$D$138</f>
        <v>36.6556604612006</v>
      </c>
      <c r="F333" s="47" t="n">
        <f aca="false">Inputs!$D$151*Inputs!$D$139</f>
        <v>83.7843667684584</v>
      </c>
    </row>
    <row r="334" customFormat="false" ht="15" hidden="false" customHeight="false" outlineLevel="0" collapsed="false">
      <c r="A334" s="13" t="s">
        <v>108</v>
      </c>
      <c r="B334" s="18" t="n">
        <f aca="false">B330+B331+B332+B333</f>
        <v>109.969</v>
      </c>
      <c r="C334" s="18" t="n">
        <f aca="false">C330+C331+C332+C333</f>
        <v>127.641863753817</v>
      </c>
      <c r="D334" s="18" t="n">
        <f aca="false">D330+D331+D332+D333</f>
        <v>156.051692515269</v>
      </c>
      <c r="E334" s="18" t="n">
        <f aca="false">E330+E331+E332+E333</f>
        <v>202.813381336201</v>
      </c>
      <c r="F334" s="18" t="n">
        <f aca="false">F330+F331+F332+F333</f>
        <v>277.169422462208</v>
      </c>
    </row>
    <row r="335" customFormat="false" ht="15" hidden="false" customHeight="false" outlineLevel="0" collapsed="false">
      <c r="A335" s="10" t="s">
        <v>501</v>
      </c>
      <c r="C335" s="19" t="n">
        <f aca="false">IFERROR(C334/B334-1,0)</f>
        <v>0.160707688110442</v>
      </c>
      <c r="D335" s="19" t="n">
        <f aca="false">IFERROR(D334/C334-1,0)</f>
        <v>0.222574537271295</v>
      </c>
      <c r="E335" s="19" t="n">
        <f aca="false">IFERROR(E334/D334-1,0)</f>
        <v>0.299655121115437</v>
      </c>
      <c r="F335" s="19" t="n">
        <f aca="false">IFERROR(F334/E334-1,0)</f>
        <v>0.366622954738618</v>
      </c>
    </row>
    <row r="336" customFormat="false" ht="15" hidden="false" customHeight="false" outlineLevel="0" collapsed="false">
      <c r="A336" s="10" t="s">
        <v>609</v>
      </c>
      <c r="C336" s="47" t="n">
        <f aca="false">C330*(Inputs!$D$140+(Inputs!$D$141-Inputs!$D$140)*0/3)</f>
        <v>12.92922</v>
      </c>
      <c r="D336" s="47" t="n">
        <f aca="false">D330*(Inputs!$D$140+(Inputs!$D$141-Inputs!$D$140)*1/3)</f>
        <v>15.80238</v>
      </c>
      <c r="E336" s="47" t="n">
        <f aca="false">E330*(Inputs!$D$140+(Inputs!$D$141-Inputs!$D$140)*2/3)</f>
        <v>19.1208798</v>
      </c>
      <c r="F336" s="47" t="n">
        <f aca="false">F330*(Inputs!$D$140+(Inputs!$D$141-Inputs!$D$140)*3/3)</f>
        <v>22.94505576</v>
      </c>
    </row>
    <row r="337" customFormat="false" ht="15" hidden="false" customHeight="false" outlineLevel="0" collapsed="false">
      <c r="A337" s="10" t="s">
        <v>610</v>
      </c>
      <c r="C337" s="47" t="n">
        <f aca="false">C331*(Inputs!$D$142+(Inputs!$D$143-Inputs!$D$142)*0/3)</f>
        <v>4.887584</v>
      </c>
      <c r="D337" s="47" t="n">
        <f aca="false">D331*(Inputs!$D$142+(Inputs!$D$143-Inputs!$D$142)*1/3)</f>
        <v>6.69546453333333</v>
      </c>
      <c r="E337" s="47" t="n">
        <f aca="false">E331*(Inputs!$D$142+(Inputs!$D$143-Inputs!$D$142)*2/3)</f>
        <v>9.14819082666667</v>
      </c>
      <c r="F337" s="47" t="n">
        <f aca="false">F331*(Inputs!$D$142+(Inputs!$D$143-Inputs!$D$142)*3/3)</f>
        <v>12.469961088</v>
      </c>
    </row>
    <row r="338" customFormat="false" ht="15" hidden="false" customHeight="false" outlineLevel="0" collapsed="false">
      <c r="A338" s="10" t="s">
        <v>611</v>
      </c>
      <c r="C338" s="47" t="n">
        <f aca="false">C332*(Inputs!$D$144+(Inputs!$D$145-Inputs!$D$144)*0/3)</f>
        <v>5.1839125</v>
      </c>
      <c r="D338" s="47" t="n">
        <f aca="false">D332*(Inputs!$D$144+(Inputs!$D$145-Inputs!$D$144)*1/3)</f>
        <v>6.761625</v>
      </c>
      <c r="E338" s="47" t="n">
        <f aca="false">E332*(Inputs!$D$144+(Inputs!$D$145-Inputs!$D$144)*2/3)</f>
        <v>8.80419921875</v>
      </c>
      <c r="F338" s="47" t="n">
        <f aca="false">F332*(Inputs!$D$144+(Inputs!$D$145-Inputs!$D$144)*3/3)</f>
        <v>11.445458984375</v>
      </c>
    </row>
    <row r="339" customFormat="false" ht="15" hidden="false" customHeight="false" outlineLevel="0" collapsed="false">
      <c r="A339" s="10" t="s">
        <v>612</v>
      </c>
      <c r="C339" s="47" t="n">
        <f aca="false">C333*(Inputs!$D$146+(Inputs!$D$147-Inputs!$D$146)*0/3)</f>
        <v>0.345610512919891</v>
      </c>
      <c r="D339" s="47" t="n">
        <f aca="false">D333*(Inputs!$D$146+(Inputs!$D$147-Inputs!$D$146)*1/3)</f>
        <v>3.26759030396988</v>
      </c>
      <c r="E339" s="47" t="n">
        <f aca="false">E333*(Inputs!$D$146+(Inputs!$D$147-Inputs!$D$146)*2/3)</f>
        <v>15.0288207890922</v>
      </c>
      <c r="F339" s="47" t="n">
        <f aca="false">F333*(Inputs!$D$146+(Inputs!$D$147-Inputs!$D$146)*3/3)</f>
        <v>46.9192453903367</v>
      </c>
    </row>
    <row r="340" customFormat="false" ht="15" hidden="false" customHeight="false" outlineLevel="0" collapsed="false">
      <c r="A340" s="10" t="s">
        <v>505</v>
      </c>
      <c r="C340" s="47" t="n">
        <f aca="false">C336+C337+C338+C339</f>
        <v>23.3463270129199</v>
      </c>
      <c r="D340" s="47" t="n">
        <f aca="false">D336+D337+D338+D339</f>
        <v>32.5270598373032</v>
      </c>
      <c r="E340" s="47" t="n">
        <f aca="false">E336+E337+E338+E339</f>
        <v>52.1020906345089</v>
      </c>
      <c r="F340" s="47" t="n">
        <f aca="false">F336+F337+F338+F339</f>
        <v>93.7797212227117</v>
      </c>
    </row>
    <row r="341" customFormat="false" ht="15" hidden="false" customHeight="false" outlineLevel="0" collapsed="false">
      <c r="A341" s="10" t="s">
        <v>613</v>
      </c>
      <c r="B341" s="47" t="n">
        <f aca="false">(Inputs!$D$120+Inputs!$D$121+Inputs!$D$122)*Inputs!$D$148</f>
        <v>1.252</v>
      </c>
      <c r="C341" s="47" t="n">
        <f aca="false">C334*Inputs!$D$148</f>
        <v>5.10567455015269</v>
      </c>
      <c r="D341" s="47" t="n">
        <f aca="false">D334*Inputs!$D$148</f>
        <v>6.24206770061075</v>
      </c>
      <c r="E341" s="47" t="n">
        <f aca="false">E334*Inputs!$D$148</f>
        <v>8.11253525344802</v>
      </c>
      <c r="F341" s="47" t="n">
        <f aca="false">F334*Inputs!$D$148</f>
        <v>11.0867768984883</v>
      </c>
    </row>
    <row r="342" customFormat="false" ht="15" hidden="false" customHeight="false" outlineLevel="0" collapsed="false">
      <c r="A342" s="10" t="s">
        <v>614</v>
      </c>
      <c r="B342" s="26" t="n">
        <v>0</v>
      </c>
      <c r="C342" s="26" t="n">
        <v>0</v>
      </c>
      <c r="D342" s="26" t="n">
        <v>0</v>
      </c>
      <c r="E342" s="26" t="n">
        <v>0</v>
      </c>
      <c r="F342" s="26" t="n">
        <v>0</v>
      </c>
    </row>
    <row r="343" customFormat="false" ht="15" hidden="false" customHeight="false" outlineLevel="0" collapsed="false">
      <c r="A343" s="10" t="s">
        <v>615</v>
      </c>
      <c r="B343" s="47" t="n">
        <f aca="false">Historicals!$C$76+Inputs!$B$53/4</f>
        <v>6.748</v>
      </c>
      <c r="C343" s="47" t="n">
        <f aca="false">Inputs!$B$53*MAX(0,MIN(1,(Inputs!$B$57-1+0.5)/Inputs!$B$57))+$B347*IF(1&lt;=Inputs!$B$49,1,0)/Inputs!$B$49+C346*0.5/Inputs!$B$49</f>
        <v>8.65443996358938</v>
      </c>
      <c r="D343" s="47" t="n">
        <f aca="false">Inputs!$B$53*MAX(0,MIN(1,(Inputs!$B$57-2+0.5)/Inputs!$B$57))+$B347*IF(2&lt;=Inputs!$B$49,1,0)/Inputs!$B$49+C346*IF(1&lt;=Inputs!$B$49-1,1,IF(1=Inputs!$B$49,0.5,0))/Inputs!$B$49+D346*0.5/Inputs!$B$49</f>
        <v>10.8808781346422</v>
      </c>
      <c r="E343" s="47" t="n">
        <f aca="false">Inputs!$B$53*MAX(0,MIN(1,(Inputs!$B$57-3+0.5)/Inputs!$B$57))+$B347*IF(3&lt;=Inputs!$B$49,1,0)/Inputs!$B$49+C346*IF(2&lt;=Inputs!$B$49-1,1,IF(2=Inputs!$B$49,0.5,0))/Inputs!$B$49+D346*IF(1&lt;=Inputs!$B$49-1,1,IF(1=Inputs!$B$49,0.5,0))/Inputs!$B$49+E346*0.5/Inputs!$B$49</f>
        <v>13.5399268221343</v>
      </c>
      <c r="F343" s="47" t="n">
        <f aca="false">Inputs!$B$53*MAX(0,MIN(1,(Inputs!$B$57-4+0.5)/Inputs!$B$57))+$B347*IF(4&lt;=Inputs!$B$49,1,0)/Inputs!$B$49+C346*IF(3&lt;=Inputs!$B$49-1,1,IF(3=Inputs!$B$49,0.5,0))/Inputs!$B$49+D346*IF(2&lt;=Inputs!$B$49-1,1,IF(2=Inputs!$B$49,0.5,0))/Inputs!$B$49+E346*IF(1&lt;=Inputs!$B$49-1,1,IF(1=Inputs!$B$49,0.5,0))/Inputs!$B$49+F346*0.5/Inputs!$B$49</f>
        <v>16.868626415374</v>
      </c>
    </row>
    <row r="344" customFormat="false" ht="15" hidden="false" customHeight="false" outlineLevel="0" collapsed="false">
      <c r="A344" s="13" t="s">
        <v>513</v>
      </c>
      <c r="B344" s="18" t="n">
        <f aca="false">Historicals!$C$72+(Inputs!$D$120+Inputs!$D$121+Inputs!$D$122)*Inputs!$D$123</f>
        <v>3.4655</v>
      </c>
      <c r="C344" s="18" t="n">
        <f aca="false">C340-C341-C343</f>
        <v>9.58621249917782</v>
      </c>
      <c r="D344" s="18" t="n">
        <f aca="false">D340-D341-D343</f>
        <v>15.4041140020503</v>
      </c>
      <c r="E344" s="18" t="n">
        <f aca="false">E340-E341-E343</f>
        <v>30.4496285589266</v>
      </c>
      <c r="F344" s="18" t="n">
        <f aca="false">F340-F341-F343</f>
        <v>65.8243179088494</v>
      </c>
    </row>
    <row r="345" customFormat="false" ht="15" hidden="false" customHeight="false" outlineLevel="0" collapsed="false">
      <c r="A345" s="10" t="s">
        <v>514</v>
      </c>
      <c r="B345" s="19" t="n">
        <f aca="false">IFERROR(B344/B334,0)</f>
        <v>0.0315134265111077</v>
      </c>
      <c r="C345" s="19" t="n">
        <f aca="false">IFERROR(C344/C334,0)</f>
        <v>0.0751024171635941</v>
      </c>
      <c r="D345" s="19" t="n">
        <f aca="false">IFERROR(D344/D334,0)</f>
        <v>0.0987116112216665</v>
      </c>
      <c r="E345" s="19" t="n">
        <f aca="false">IFERROR(E344/E334,0)</f>
        <v>0.150136191006306</v>
      </c>
      <c r="F345" s="19" t="n">
        <f aca="false">IFERROR(F344/F334,0)</f>
        <v>0.237487661243817</v>
      </c>
    </row>
    <row r="346" customFormat="false" ht="15" hidden="false" customHeight="false" outlineLevel="0" collapsed="false">
      <c r="A346" s="10" t="s">
        <v>616</v>
      </c>
      <c r="B346" s="47" t="n">
        <f aca="false">Inputs!$B$58</f>
        <v>20</v>
      </c>
      <c r="C346" s="47" t="n">
        <f aca="false">C334*(Inputs!$D$149+(Inputs!$D$150-Inputs!$D$149)*0/3)</f>
        <v>25.5283727507634</v>
      </c>
      <c r="D346" s="47" t="n">
        <f aca="false">D334*(Inputs!$D$149+(Inputs!$D$150-Inputs!$D$149)*1/3)</f>
        <v>28.0893046527484</v>
      </c>
      <c r="E346" s="47" t="n">
        <f aca="false">E334*(Inputs!$D$149+(Inputs!$D$150-Inputs!$D$149)*2/3)</f>
        <v>32.4501410137921</v>
      </c>
      <c r="F346" s="47" t="n">
        <f aca="false">F334*(Inputs!$D$149+(Inputs!$D$150-Inputs!$D$149)*3/3)</f>
        <v>38.8037191447092</v>
      </c>
    </row>
    <row r="347" customFormat="false" ht="15" hidden="false" customHeight="false" outlineLevel="0" collapsed="false">
      <c r="A347" s="10" t="s">
        <v>617</v>
      </c>
      <c r="B347" s="47" t="n">
        <f aca="false">Inputs!$B$58-Historicals!$C$78</f>
        <v>6.986</v>
      </c>
    </row>
    <row r="348" customFormat="false" ht="15" hidden="false" customHeight="false" outlineLevel="0" collapsed="false">
      <c r="A348" s="10" t="s">
        <v>618</v>
      </c>
      <c r="C348" s="48" t="n">
        <f aca="false">IFERROR(C346/C343,0)</f>
        <v>2.94974289014256</v>
      </c>
      <c r="D348" s="48" t="n">
        <f aca="false">IFERROR(D346/D343,0)</f>
        <v>2.58152920243804</v>
      </c>
      <c r="E348" s="48" t="n">
        <f aca="false">IFERROR(E346/E343,0)</f>
        <v>2.39662602612773</v>
      </c>
      <c r="F348" s="48" t="n">
        <f aca="false">IFERROR(F346/F343,0)</f>
        <v>2.30034848061747</v>
      </c>
    </row>
    <row r="349" customFormat="false" ht="15" hidden="false" customHeight="false" outlineLevel="0" collapsed="false">
      <c r="A349" s="10" t="s">
        <v>523</v>
      </c>
      <c r="B349" s="47" t="n">
        <f aca="false">B344-Inputs!$B$38*B346+Inputs!$B$38*B343</f>
        <v>-4.4857</v>
      </c>
      <c r="C349" s="47" t="n">
        <f aca="false">C344-Inputs!$B$38*C346+Inputs!$B$38*C343</f>
        <v>-0.538147173126613</v>
      </c>
      <c r="D349" s="47" t="n">
        <f aca="false">D344-Inputs!$B$38*D346+Inputs!$B$38*D343</f>
        <v>5.07905809118655</v>
      </c>
      <c r="E349" s="47" t="n">
        <f aca="false">E344-Inputs!$B$38*E346+Inputs!$B$38*E343</f>
        <v>19.1035000439319</v>
      </c>
      <c r="F349" s="47" t="n">
        <f aca="false">F344-Inputs!$B$38*F346+Inputs!$B$38*F343</f>
        <v>52.6632622712483</v>
      </c>
    </row>
    <row r="350" customFormat="false" ht="15" hidden="false" customHeight="false" outlineLevel="0" collapsed="false">
      <c r="A350" s="10" t="s">
        <v>524</v>
      </c>
      <c r="B350" s="47" t="n">
        <f aca="false">MIN(0,MAX(0,B349),1E+099)</f>
        <v>0</v>
      </c>
      <c r="C350" s="47" t="n">
        <f aca="false">MIN(B352,MAX(0,C349),1E+099)</f>
        <v>0</v>
      </c>
      <c r="D350" s="47" t="n">
        <f aca="false">MIN(C352,MAX(0,D349),1E+099)</f>
        <v>4.4857</v>
      </c>
      <c r="E350" s="47" t="n">
        <f aca="false">MIN(D352,MAX(0,E349),1E+099)</f>
        <v>0</v>
      </c>
      <c r="F350" s="47" t="n">
        <f aca="false">MIN(E352,MAX(0,F349),1E+099)</f>
        <v>0</v>
      </c>
    </row>
    <row r="351" customFormat="false" ht="15" hidden="false" customHeight="false" outlineLevel="0" collapsed="false">
      <c r="A351" s="10" t="s">
        <v>525</v>
      </c>
      <c r="B351" s="47" t="n">
        <f aca="false">MIN(0,MAX(0,B349)-B350)</f>
        <v>0</v>
      </c>
      <c r="C351" s="47" t="n">
        <f aca="false">MIN(B353,MAX(0,C349)-C350)</f>
        <v>0</v>
      </c>
      <c r="D351" s="47" t="n">
        <f aca="false">MIN(C353,MAX(0,D349)-D350)</f>
        <v>0.538147173126613</v>
      </c>
      <c r="E351" s="47" t="n">
        <f aca="false">MIN(D353,MAX(0,E349)-E350)</f>
        <v>0</v>
      </c>
      <c r="F351" s="47" t="n">
        <f aca="false">MIN(E353,MAX(0,F349)-F350)</f>
        <v>0</v>
      </c>
    </row>
    <row r="352" customFormat="false" ht="15" hidden="false" customHeight="false" outlineLevel="0" collapsed="false">
      <c r="A352" s="10" t="s">
        <v>526</v>
      </c>
      <c r="B352" s="47" t="n">
        <f aca="false">0-B350+MAX(0,-B349)</f>
        <v>4.4857</v>
      </c>
      <c r="C352" s="47" t="n">
        <f aca="false">B352-C350</f>
        <v>4.4857</v>
      </c>
      <c r="D352" s="47" t="n">
        <f aca="false">C352-D350</f>
        <v>0</v>
      </c>
      <c r="E352" s="47" t="n">
        <f aca="false">D352-E350</f>
        <v>0</v>
      </c>
      <c r="F352" s="47" t="n">
        <f aca="false">E352-F350</f>
        <v>0</v>
      </c>
    </row>
    <row r="353" customFormat="false" ht="15" hidden="false" customHeight="false" outlineLevel="0" collapsed="false">
      <c r="A353" s="10" t="s">
        <v>527</v>
      </c>
      <c r="B353" s="26" t="n">
        <v>0</v>
      </c>
      <c r="C353" s="47" t="n">
        <f aca="false">B353-C351+MAX(0,-C349)</f>
        <v>0.538147173126613</v>
      </c>
      <c r="D353" s="47" t="n">
        <f aca="false">C353-D351+MAX(0,-D349)</f>
        <v>0</v>
      </c>
      <c r="E353" s="47" t="n">
        <f aca="false">D353-E351+MAX(0,-E349)</f>
        <v>0</v>
      </c>
      <c r="F353" s="47" t="n">
        <f aca="false">E353-F351+MAX(0,-F349)</f>
        <v>0</v>
      </c>
    </row>
    <row r="354" customFormat="false" ht="15" hidden="false" customHeight="false" outlineLevel="0" collapsed="false">
      <c r="A354" s="10" t="s">
        <v>528</v>
      </c>
      <c r="B354" s="47" t="n">
        <f aca="false">MAX(0,B349-B350-B351)*Inputs!$B$34</f>
        <v>0</v>
      </c>
      <c r="C354" s="47" t="n">
        <f aca="false">MAX(0,C349-C350-C351)*Inputs!$B$34</f>
        <v>0</v>
      </c>
      <c r="D354" s="47" t="n">
        <f aca="false">MAX(0,D349-D350-D351)*Inputs!$B$34</f>
        <v>0.00220843672239724</v>
      </c>
      <c r="E354" s="47" t="n">
        <f aca="false">MAX(0,E349-E350-E351)*Inputs!$B$34</f>
        <v>0.764140001757276</v>
      </c>
      <c r="F354" s="47" t="n">
        <f aca="false">MAX(0,F349-F350-F351)*Inputs!$B$34</f>
        <v>2.10653049084993</v>
      </c>
    </row>
    <row r="355" customFormat="false" ht="15" hidden="false" customHeight="false" outlineLevel="0" collapsed="false">
      <c r="A355" s="10" t="s">
        <v>529</v>
      </c>
      <c r="B355" s="47" t="n">
        <f aca="false">B349-B354</f>
        <v>-4.4857</v>
      </c>
      <c r="C355" s="47" t="n">
        <f aca="false">C349-C354</f>
        <v>-0.538147173126613</v>
      </c>
      <c r="D355" s="47" t="n">
        <f aca="false">D349-D354</f>
        <v>5.07684965446415</v>
      </c>
      <c r="E355" s="47" t="n">
        <f aca="false">E349-E354</f>
        <v>18.3393600421746</v>
      </c>
      <c r="F355" s="47" t="n">
        <f aca="false">F349-F354</f>
        <v>50.5567317803983</v>
      </c>
    </row>
    <row r="356" customFormat="false" ht="15" hidden="false" customHeight="false" outlineLevel="0" collapsed="false">
      <c r="A356" s="10" t="s">
        <v>530</v>
      </c>
      <c r="B356" s="47" t="n">
        <f aca="false">MIN(Inputs!$B$39,Inputs!$B$35*MAX(0,B355),1E+099)</f>
        <v>0</v>
      </c>
      <c r="C356" s="47" t="n">
        <f aca="false">MIN(B358,Inputs!$B$35*MAX(0,C355),1E+099)</f>
        <v>0</v>
      </c>
      <c r="D356" s="47" t="n">
        <f aca="false">MIN(C358,Inputs!$B$35*MAX(0,D355),1E+099)</f>
        <v>4.06147972357132</v>
      </c>
      <c r="E356" s="47" t="n">
        <f aca="false">MIN(D358,Inputs!$B$35*MAX(0,E355),1E+099)</f>
        <v>0.424220276428683</v>
      </c>
      <c r="F356" s="47" t="n">
        <f aca="false">MIN(E358,Inputs!$B$35*MAX(0,F355),1E+099)</f>
        <v>0</v>
      </c>
    </row>
    <row r="357" customFormat="false" ht="15" hidden="false" customHeight="false" outlineLevel="0" collapsed="false">
      <c r="A357" s="10" t="s">
        <v>531</v>
      </c>
      <c r="B357" s="47" t="n">
        <f aca="false">MIN(0,Inputs!$B$35*MAX(0,B355)-B356)</f>
        <v>0</v>
      </c>
      <c r="C357" s="47" t="n">
        <f aca="false">MIN(B359,Inputs!$B$35*MAX(0,C355)-C356)</f>
        <v>0</v>
      </c>
      <c r="D357" s="47" t="n">
        <f aca="false">MIN(C359,Inputs!$B$35*MAX(0,D355)-D356)</f>
        <v>0</v>
      </c>
      <c r="E357" s="47" t="n">
        <f aca="false">MIN(D359,Inputs!$B$35*MAX(0,E355)-E356)</f>
        <v>0.538147173126613</v>
      </c>
      <c r="F357" s="47" t="n">
        <f aca="false">MIN(E359,Inputs!$B$35*MAX(0,F355)-F356)</f>
        <v>0</v>
      </c>
    </row>
    <row r="358" customFormat="false" ht="15" hidden="false" customHeight="false" outlineLevel="0" collapsed="false">
      <c r="A358" s="10" t="s">
        <v>532</v>
      </c>
      <c r="B358" s="47" t="n">
        <f aca="false">Inputs!$B$39-B356+MAX(0,-B355)</f>
        <v>4.4857</v>
      </c>
      <c r="C358" s="47" t="n">
        <f aca="false">B358-C356</f>
        <v>4.4857</v>
      </c>
      <c r="D358" s="47" t="n">
        <f aca="false">C358-D356</f>
        <v>0.424220276428683</v>
      </c>
      <c r="E358" s="47" t="n">
        <f aca="false">D358-E356</f>
        <v>0</v>
      </c>
      <c r="F358" s="47" t="n">
        <f aca="false">E358-F356</f>
        <v>0</v>
      </c>
    </row>
    <row r="359" customFormat="false" ht="15" hidden="false" customHeight="false" outlineLevel="0" collapsed="false">
      <c r="A359" s="10" t="s">
        <v>533</v>
      </c>
      <c r="B359" s="26" t="n">
        <v>0</v>
      </c>
      <c r="C359" s="47" t="n">
        <f aca="false">B359-C357+MAX(0,-C355)</f>
        <v>0.538147173126613</v>
      </c>
      <c r="D359" s="47" t="n">
        <f aca="false">C359-D357+MAX(0,-D355)</f>
        <v>0.538147173126613</v>
      </c>
      <c r="E359" s="47" t="n">
        <f aca="false">D359-E357+MAX(0,-E355)</f>
        <v>0</v>
      </c>
      <c r="F359" s="47" t="n">
        <f aca="false">E359-F357+MAX(0,-F355)</f>
        <v>0</v>
      </c>
    </row>
    <row r="360" customFormat="false" ht="15" hidden="false" customHeight="false" outlineLevel="0" collapsed="false">
      <c r="A360" s="10" t="s">
        <v>534</v>
      </c>
      <c r="B360" s="47" t="n">
        <f aca="false">MAX(0,B355-B356-B357)*Inputs!$B$33</f>
        <v>0</v>
      </c>
      <c r="C360" s="47" t="n">
        <f aca="false">MAX(0,C355-C356-C357)*Inputs!$B$33</f>
        <v>0</v>
      </c>
      <c r="D360" s="47" t="n">
        <f aca="false">MAX(0,D355-D356-D357)*Inputs!$B$33</f>
        <v>0.213227685487494</v>
      </c>
      <c r="E360" s="47" t="n">
        <f aca="false">MAX(0,E355-E356-E357)*Inputs!$B$33</f>
        <v>3.64916844445006</v>
      </c>
      <c r="F360" s="47" t="n">
        <f aca="false">MAX(0,F355-F356-F357)*Inputs!$B$33</f>
        <v>10.6169136738837</v>
      </c>
    </row>
    <row r="361" customFormat="false" ht="15" hidden="false" customHeight="false" outlineLevel="0" collapsed="false">
      <c r="A361" s="10" t="s">
        <v>535</v>
      </c>
      <c r="B361" s="47" t="n">
        <f aca="false">MIN(0,B360,MAX(0,1E+099-B356)*Inputs!$B$33)</f>
        <v>0</v>
      </c>
      <c r="C361" s="47" t="n">
        <f aca="false">MIN(B362,C360,MAX(0,1E+099-C356)*Inputs!$B$33)</f>
        <v>0</v>
      </c>
      <c r="D361" s="47" t="n">
        <f aca="false">MIN(C362,D360,MAX(0,1E+099-D356)*Inputs!$B$33)</f>
        <v>0</v>
      </c>
      <c r="E361" s="47" t="n">
        <f aca="false">MIN(D362,E360,MAX(0,1E+099-E356)*Inputs!$B$33)</f>
        <v>0</v>
      </c>
      <c r="F361" s="47" t="n">
        <f aca="false">MIN(E362,F360,MAX(0,1E+099-F356)*Inputs!$B$33)</f>
        <v>0</v>
      </c>
    </row>
    <row r="362" customFormat="false" ht="15" hidden="false" customHeight="false" outlineLevel="0" collapsed="false">
      <c r="A362" s="10" t="s">
        <v>536</v>
      </c>
      <c r="B362" s="47" t="n">
        <f aca="false">0-B361</f>
        <v>0</v>
      </c>
      <c r="C362" s="47" t="n">
        <f aca="false">B362-C361</f>
        <v>0</v>
      </c>
      <c r="D362" s="47" t="n">
        <f aca="false">C362-D361</f>
        <v>0</v>
      </c>
      <c r="E362" s="47" t="n">
        <f aca="false">D362-E361</f>
        <v>0</v>
      </c>
      <c r="F362" s="47" t="n">
        <f aca="false">E362-F361</f>
        <v>0</v>
      </c>
    </row>
    <row r="363" customFormat="false" ht="15" hidden="false" customHeight="false" outlineLevel="0" collapsed="false">
      <c r="A363" s="13" t="s">
        <v>537</v>
      </c>
      <c r="B363" s="18" t="n">
        <f aca="false">MAX(0,(Inputs!$D$120+Inputs!$D$121+Inputs!$D$122)*Inputs!$D$123)*Inputs!$B$41</f>
        <v>0.211275</v>
      </c>
      <c r="C363" s="18" t="n">
        <f aca="false">C360-C361+C354</f>
        <v>0</v>
      </c>
      <c r="D363" s="18" t="n">
        <f aca="false">D360-D361+D354</f>
        <v>0.215436122209891</v>
      </c>
      <c r="E363" s="18" t="n">
        <f aca="false">E360-E361+E354</f>
        <v>4.41330844620734</v>
      </c>
      <c r="F363" s="18" t="n">
        <f aca="false">F360-F361+F354</f>
        <v>12.7234441647336</v>
      </c>
    </row>
    <row r="364" customFormat="false" ht="15" hidden="false" customHeight="false" outlineLevel="0" collapsed="false">
      <c r="A364" s="10" t="s">
        <v>538</v>
      </c>
      <c r="B364" s="47" t="n">
        <f aca="false">0+Inputs!$B$38*(B346-B343)</f>
        <v>7.9512</v>
      </c>
      <c r="C364" s="47" t="n">
        <f aca="false">B364+Inputs!$B$38*(C346-C343)</f>
        <v>18.0755596723044</v>
      </c>
      <c r="D364" s="47" t="n">
        <f aca="false">C364+Inputs!$B$38*(D346-D343)</f>
        <v>28.4006155831681</v>
      </c>
      <c r="E364" s="47" t="n">
        <f aca="false">D364+Inputs!$B$38*(E346-E343)</f>
        <v>39.7467440981628</v>
      </c>
      <c r="F364" s="47" t="n">
        <f aca="false">E364+Inputs!$B$38*(F346-F343)</f>
        <v>52.9077997357639</v>
      </c>
    </row>
    <row r="365" customFormat="false" ht="15" hidden="false" customHeight="false" outlineLevel="0" collapsed="false">
      <c r="A365" s="10" t="s">
        <v>539</v>
      </c>
      <c r="B365" s="47" t="n">
        <f aca="false">B364*Inputs!$B$79</f>
        <v>1.92100992</v>
      </c>
      <c r="C365" s="47" t="n">
        <f aca="false">C364*Inputs!$B$79</f>
        <v>4.36705521682875</v>
      </c>
      <c r="D365" s="47" t="n">
        <f aca="false">D364*Inputs!$B$79</f>
        <v>6.86158872489342</v>
      </c>
      <c r="E365" s="47" t="n">
        <f aca="false">E364*Inputs!$B$79</f>
        <v>9.60281337411613</v>
      </c>
      <c r="F365" s="47" t="n">
        <f aca="false">F364*Inputs!$B$79</f>
        <v>12.7825244161606</v>
      </c>
    </row>
    <row r="366" customFormat="false" ht="15" hidden="false" customHeight="false" outlineLevel="0" collapsed="false">
      <c r="A366" s="10" t="s">
        <v>540</v>
      </c>
      <c r="C366" s="47" t="n">
        <f aca="false">C344-C363</f>
        <v>9.58621249917782</v>
      </c>
      <c r="D366" s="47" t="n">
        <f aca="false">D344-D363</f>
        <v>15.1886778798404</v>
      </c>
      <c r="E366" s="47" t="n">
        <f aca="false">E344-E363</f>
        <v>26.0363201127192</v>
      </c>
      <c r="F366" s="47" t="n">
        <f aca="false">F344-F363</f>
        <v>53.1008737441158</v>
      </c>
    </row>
    <row r="367" customFormat="false" ht="15" hidden="false" customHeight="false" outlineLevel="0" collapsed="false">
      <c r="A367" s="10" t="s">
        <v>541</v>
      </c>
      <c r="C367" s="47" t="n">
        <f aca="false">Inputs!$B$65*(C334-B334)</f>
        <v>0</v>
      </c>
      <c r="D367" s="47" t="n">
        <f aca="false">Inputs!$B$65*(D334-C334)</f>
        <v>0</v>
      </c>
      <c r="E367" s="47" t="n">
        <f aca="false">Inputs!$B$65*(E334-D334)</f>
        <v>0</v>
      </c>
      <c r="F367" s="47" t="n">
        <f aca="false">Inputs!$B$65*(F334-E334)</f>
        <v>0</v>
      </c>
    </row>
    <row r="368" customFormat="false" ht="15" hidden="false" customHeight="false" outlineLevel="0" collapsed="false">
      <c r="A368" s="13" t="s">
        <v>542</v>
      </c>
      <c r="B368" s="18" t="n">
        <f aca="false">B369-B341</f>
        <v>-4.101775</v>
      </c>
      <c r="C368" s="18" t="n">
        <f aca="false">C344+C343-C363-C346-C367</f>
        <v>-7.28772028799624</v>
      </c>
      <c r="D368" s="18" t="n">
        <f aca="false">D344+D343-D363-D346-D367</f>
        <v>-2.01974863826582</v>
      </c>
      <c r="E368" s="18" t="n">
        <f aca="false">E344+E343-E363-E346-E367</f>
        <v>7.12610592106145</v>
      </c>
      <c r="F368" s="18" t="n">
        <f aca="false">F344+F343-F363-F346-F367</f>
        <v>31.1657810147806</v>
      </c>
    </row>
    <row r="369" customFormat="false" ht="15" hidden="false" customHeight="false" outlineLevel="0" collapsed="false">
      <c r="A369" s="10" t="s">
        <v>543</v>
      </c>
      <c r="B369" s="47" t="n">
        <f aca="false">(Inputs!$D$120+Inputs!$D$121+Inputs!$D$122)*Inputs!$D$123+Inputs!$B$53/4+B341-B363-B347</f>
        <v>-2.849775</v>
      </c>
      <c r="C369" s="47" t="n">
        <f aca="false">C368+C341+C342</f>
        <v>-2.18204573784355</v>
      </c>
      <c r="D369" s="47" t="n">
        <f aca="false">D368+D341+D342</f>
        <v>4.22231906234494</v>
      </c>
      <c r="E369" s="47" t="n">
        <f aca="false">E368+E341+E342</f>
        <v>15.2386411745095</v>
      </c>
      <c r="F369" s="47" t="n">
        <f aca="false">F368+F341+F342</f>
        <v>42.252557913269</v>
      </c>
    </row>
    <row r="370" customFormat="false" ht="15" hidden="false" customHeight="false" outlineLevel="0" collapsed="false">
      <c r="A370" s="10" t="s">
        <v>544</v>
      </c>
      <c r="B370" s="47" t="n">
        <f aca="false">Historicals!$B$87</f>
        <v>45.447</v>
      </c>
      <c r="C370" s="47" t="n">
        <f aca="false">B381</f>
        <v>42.8960954773869</v>
      </c>
      <c r="D370" s="47" t="n">
        <f aca="false">C381</f>
        <v>41.8373384174399</v>
      </c>
      <c r="E370" s="47" t="n">
        <f aca="false">D381</f>
        <v>47.2704329062588</v>
      </c>
      <c r="F370" s="47" t="n">
        <f aca="false">E381</f>
        <v>64.1664313662178</v>
      </c>
    </row>
    <row r="371" customFormat="false" ht="15" hidden="false" customHeight="false" outlineLevel="0" collapsed="false">
      <c r="A371" s="10" t="s">
        <v>545</v>
      </c>
      <c r="B371" s="47" t="n">
        <f aca="false">Historicals!$B$88</f>
        <v>9.523</v>
      </c>
      <c r="C371" s="47" t="n">
        <f aca="false">B382</f>
        <v>9.523</v>
      </c>
      <c r="D371" s="47" t="n">
        <f aca="false">C382</f>
        <v>9.523</v>
      </c>
      <c r="E371" s="47" t="n">
        <f aca="false">D382</f>
        <v>9.523</v>
      </c>
      <c r="F371" s="47" t="n">
        <f aca="false">E382</f>
        <v>9.523</v>
      </c>
    </row>
    <row r="372" customFormat="false" ht="15" hidden="false" customHeight="false" outlineLevel="0" collapsed="false">
      <c r="A372" s="10" t="s">
        <v>546</v>
      </c>
      <c r="B372" s="26" t="n">
        <v>0</v>
      </c>
      <c r="C372" s="47" t="n">
        <f aca="false">Inputs!$B$63</f>
        <v>0</v>
      </c>
      <c r="D372" s="26" t="n">
        <v>0</v>
      </c>
      <c r="E372" s="26" t="n">
        <v>0</v>
      </c>
      <c r="F372" s="26" t="n">
        <v>0</v>
      </c>
    </row>
    <row r="373" customFormat="false" ht="15" hidden="false" customHeight="false" outlineLevel="0" collapsed="false">
      <c r="A373" s="10" t="s">
        <v>547</v>
      </c>
      <c r="B373" s="47" t="n">
        <f aca="false">(B370+B369-B372+Inputs!$B$60/4*B370/2-Inputs!$B$61/4*(B371-B372/2))/(1-Inputs!$B$60/4/2)</f>
        <v>42.8960954773869</v>
      </c>
      <c r="C373" s="47" t="n">
        <f aca="false">(C370+C369-C372+Inputs!$B$60*C370/2-Inputs!$B$61*(C371-C372/2))/(1-Inputs!$B$60/2)</f>
        <v>41.8373384174399</v>
      </c>
      <c r="D373" s="47" t="n">
        <f aca="false">(D370+D369-D372+Inputs!$B$60*D370/2-Inputs!$B$61*(D371-D372/2))/(1-Inputs!$B$60/2)</f>
        <v>47.2704329062588</v>
      </c>
      <c r="E373" s="47" t="n">
        <f aca="false">(E370+E369-E372+Inputs!$B$60*E370/2-Inputs!$B$61*(E371-E372/2))/(1-Inputs!$B$60/2)</f>
        <v>64.1664313662178</v>
      </c>
      <c r="F373" s="47" t="n">
        <f aca="false">(F370+F369-F372+Inputs!$B$60*F370/2-Inputs!$B$61*(F371-F372/2))/(1-Inputs!$B$60/2)</f>
        <v>109.317283578379</v>
      </c>
    </row>
    <row r="374" customFormat="false" ht="15" hidden="false" customHeight="false" outlineLevel="0" collapsed="false">
      <c r="A374" s="10" t="s">
        <v>548</v>
      </c>
      <c r="B374" s="47" t="n">
        <f aca="false">IF(B373&gt;=Inputs!$B$67,0,(Inputs!$B$67-B370-B369+B372-Inputs!$B$60/4*(B370+Inputs!$B$67)/2+Inputs!$B$61/4*(B371-B372/2))/(1-Inputs!$B$61/4*Inputs!$B$69/(2*(1-Inputs!$B$70))))</f>
        <v>0</v>
      </c>
      <c r="C374" s="47" t="n">
        <f aca="false">IF(C373&gt;=Inputs!$B$67,0,(Inputs!$B$67-C370-C369+C372-Inputs!$B$60*(C370+Inputs!$B$67)/2+Inputs!$B$61*(C371-C372/2))/(1-Inputs!$B$61*Inputs!$B$69/(2*(1-Inputs!$B$70))))</f>
        <v>0</v>
      </c>
      <c r="D374" s="47" t="n">
        <f aca="false">IF(D373&gt;=Inputs!$B$67,0,(Inputs!$B$67-D370-D369+D372-Inputs!$B$60*(D370+Inputs!$B$67)/2+Inputs!$B$61*(D371-D372/2))/(1-Inputs!$B$61*Inputs!$B$69/(2*(1-Inputs!$B$70))))</f>
        <v>0</v>
      </c>
      <c r="E374" s="47" t="n">
        <f aca="false">IF(E373&gt;=Inputs!$B$67,0,(Inputs!$B$67-E370-E369+E372-Inputs!$B$60*(E370+Inputs!$B$67)/2+Inputs!$B$61*(E371-E372/2))/(1-Inputs!$B$61*Inputs!$B$69/(2*(1-Inputs!$B$70))))</f>
        <v>0</v>
      </c>
      <c r="F374" s="47" t="n">
        <f aca="false">IF(F373&gt;=Inputs!$B$67,0,(Inputs!$B$67-F370-F369+F372-Inputs!$B$60*(F370+Inputs!$B$67)/2+Inputs!$B$61*(F371-F372/2))/(1-Inputs!$B$61*Inputs!$B$69/(2*(1-Inputs!$B$70))))</f>
        <v>0</v>
      </c>
    </row>
    <row r="375" customFormat="false" ht="15" hidden="false" customHeight="false" outlineLevel="0" collapsed="false">
      <c r="A375" s="10" t="s">
        <v>549</v>
      </c>
      <c r="B375" s="47" t="n">
        <f aca="false">B374/(1-Inputs!$B$70)</f>
        <v>0</v>
      </c>
      <c r="C375" s="47" t="n">
        <f aca="false">C374/(1-Inputs!$B$70)</f>
        <v>0</v>
      </c>
      <c r="D375" s="47" t="n">
        <f aca="false">D374/(1-Inputs!$B$70)</f>
        <v>0</v>
      </c>
      <c r="E375" s="47" t="n">
        <f aca="false">E374/(1-Inputs!$B$70)</f>
        <v>0</v>
      </c>
      <c r="F375" s="47" t="n">
        <f aca="false">F374/(1-Inputs!$B$70)</f>
        <v>0</v>
      </c>
    </row>
    <row r="376" customFormat="false" ht="15" hidden="false" customHeight="false" outlineLevel="0" collapsed="false">
      <c r="A376" s="10" t="s">
        <v>550</v>
      </c>
      <c r="B376" s="47" t="n">
        <f aca="false">B375*Inputs!$B$69</f>
        <v>0</v>
      </c>
      <c r="C376" s="47" t="n">
        <f aca="false">C375*Inputs!$B$69</f>
        <v>0</v>
      </c>
      <c r="D376" s="47" t="n">
        <f aca="false">D375*Inputs!$B$69</f>
        <v>0</v>
      </c>
      <c r="E376" s="47" t="n">
        <f aca="false">E375*Inputs!$B$69</f>
        <v>0</v>
      </c>
      <c r="F376" s="47" t="n">
        <f aca="false">F375*Inputs!$B$69</f>
        <v>0</v>
      </c>
    </row>
    <row r="377" customFormat="false" ht="15" hidden="false" customHeight="false" outlineLevel="0" collapsed="false">
      <c r="A377" s="10" t="s">
        <v>551</v>
      </c>
      <c r="B377" s="47" t="n">
        <f aca="false">B375-B376</f>
        <v>0</v>
      </c>
      <c r="C377" s="47" t="n">
        <f aca="false">C375-C376</f>
        <v>0</v>
      </c>
      <c r="D377" s="47" t="n">
        <f aca="false">D375-D376</f>
        <v>0</v>
      </c>
      <c r="E377" s="47" t="n">
        <f aca="false">E375-E376</f>
        <v>0</v>
      </c>
      <c r="F377" s="47" t="n">
        <f aca="false">F375-F376</f>
        <v>0</v>
      </c>
    </row>
    <row r="378" customFormat="false" ht="15" hidden="false" customHeight="false" outlineLevel="0" collapsed="false">
      <c r="A378" s="10" t="s">
        <v>552</v>
      </c>
      <c r="B378" s="47" t="n">
        <f aca="false">B375-B374</f>
        <v>0</v>
      </c>
      <c r="C378" s="47" t="n">
        <f aca="false">C375-C374</f>
        <v>0</v>
      </c>
      <c r="D378" s="47" t="n">
        <f aca="false">D375-D374</f>
        <v>0</v>
      </c>
      <c r="E378" s="47" t="n">
        <f aca="false">E375-E374</f>
        <v>0</v>
      </c>
      <c r="F378" s="47" t="n">
        <f aca="false">F375-F374</f>
        <v>0</v>
      </c>
    </row>
    <row r="379" customFormat="false" ht="15" hidden="false" customHeight="false" outlineLevel="0" collapsed="false">
      <c r="A379" s="10" t="s">
        <v>553</v>
      </c>
      <c r="B379" s="47" t="n">
        <f aca="false">Inputs!$B$60/4*(B370+B381)/2</f>
        <v>0.441715477386935</v>
      </c>
      <c r="C379" s="47" t="n">
        <f aca="false">Inputs!$B$60*(C370+C381)/2</f>
        <v>1.69466867789654</v>
      </c>
      <c r="D379" s="47" t="n">
        <f aca="false">Inputs!$B$60*(D370+D381)/2</f>
        <v>1.78215542647398</v>
      </c>
      <c r="E379" s="47" t="n">
        <f aca="false">Inputs!$B$60*(E370+E381)/2</f>
        <v>2.22873728544953</v>
      </c>
      <c r="F379" s="47" t="n">
        <f aca="false">Inputs!$B$60*(F370+F381)/2</f>
        <v>3.46967429889193</v>
      </c>
    </row>
    <row r="380" customFormat="false" ht="15" hidden="false" customHeight="false" outlineLevel="0" collapsed="false">
      <c r="A380" s="10" t="s">
        <v>554</v>
      </c>
      <c r="B380" s="47" t="n">
        <f aca="false">Inputs!$B$61/4*(B371-B372/2+B376/2)</f>
        <v>0.142845</v>
      </c>
      <c r="C380" s="47" t="n">
        <f aca="false">Inputs!$B$61*(C371-C372/2+C376/2)</f>
        <v>0.57138</v>
      </c>
      <c r="D380" s="47" t="n">
        <f aca="false">Inputs!$B$61*(D371-D372/2+D376/2)</f>
        <v>0.57138</v>
      </c>
      <c r="E380" s="47" t="n">
        <f aca="false">Inputs!$B$61*(E371-E372/2+E376/2)</f>
        <v>0.57138</v>
      </c>
      <c r="F380" s="47" t="n">
        <f aca="false">Inputs!$B$61*(F371-F372/2+F376/2)</f>
        <v>0.57138</v>
      </c>
    </row>
    <row r="381" customFormat="false" ht="15" hidden="false" customHeight="false" outlineLevel="0" collapsed="false">
      <c r="A381" s="13" t="s">
        <v>555</v>
      </c>
      <c r="B381" s="18" t="n">
        <f aca="false">IF(B374&gt;0,Inputs!$B$67,B373)</f>
        <v>42.8960954773869</v>
      </c>
      <c r="C381" s="18" t="n">
        <f aca="false">IF(C374&gt;0,Inputs!$B$67,C373)</f>
        <v>41.8373384174399</v>
      </c>
      <c r="D381" s="18" t="n">
        <f aca="false">IF(D374&gt;0,Inputs!$B$67,D373)</f>
        <v>47.2704329062588</v>
      </c>
      <c r="E381" s="18" t="n">
        <f aca="false">IF(E374&gt;0,Inputs!$B$67,E373)</f>
        <v>64.1664313662178</v>
      </c>
      <c r="F381" s="18" t="n">
        <f aca="false">IF(F374&gt;0,Inputs!$B$67,F373)</f>
        <v>109.317283578379</v>
      </c>
    </row>
    <row r="382" customFormat="false" ht="15" hidden="false" customHeight="false" outlineLevel="0" collapsed="false">
      <c r="A382" s="10" t="s">
        <v>556</v>
      </c>
      <c r="B382" s="47" t="n">
        <f aca="false">B371-B372+B376</f>
        <v>9.523</v>
      </c>
      <c r="C382" s="47" t="n">
        <f aca="false">C371-C372+C376</f>
        <v>9.523</v>
      </c>
      <c r="D382" s="47" t="n">
        <f aca="false">D371-D372+D376</f>
        <v>9.523</v>
      </c>
      <c r="E382" s="47" t="n">
        <f aca="false">E371-E372+E376</f>
        <v>9.523</v>
      </c>
      <c r="F382" s="47" t="n">
        <f aca="false">F371-F372+F376</f>
        <v>9.523</v>
      </c>
    </row>
    <row r="383" customFormat="false" ht="15" hidden="false" customHeight="false" outlineLevel="0" collapsed="false">
      <c r="A383" s="13" t="s">
        <v>557</v>
      </c>
      <c r="B383" s="18" t="n">
        <f aca="false">B381-B382</f>
        <v>33.3730954773869</v>
      </c>
      <c r="C383" s="18" t="n">
        <f aca="false">C381-C382</f>
        <v>32.3143384174399</v>
      </c>
      <c r="D383" s="18" t="n">
        <f aca="false">D381-D382</f>
        <v>37.7474329062588</v>
      </c>
      <c r="E383" s="18" t="n">
        <f aca="false">E381-E382</f>
        <v>54.6434313662178</v>
      </c>
      <c r="F383" s="18" t="n">
        <f aca="false">F381-F382</f>
        <v>99.7942835783787</v>
      </c>
    </row>
    <row r="384" customFormat="false" ht="15" hidden="false" customHeight="false" outlineLevel="0" collapsed="false">
      <c r="A384" s="10" t="s">
        <v>558</v>
      </c>
      <c r="B384" s="33" t="n">
        <f aca="false">ROUND(B370+B369-B372+B379-B380+B374-B381,6)</f>
        <v>0</v>
      </c>
      <c r="C384" s="33" t="n">
        <f aca="false">ROUND(C370+C369-C372+C379-C380+C374-C381,6)</f>
        <v>0</v>
      </c>
      <c r="D384" s="33" t="n">
        <f aca="false">ROUND(D370+D369-D372+D379-D380+D374-D381,6)</f>
        <v>0</v>
      </c>
      <c r="E384" s="33" t="n">
        <f aca="false">ROUND(E370+E369-E372+E379-E380+E374-E381,6)</f>
        <v>0</v>
      </c>
      <c r="F384" s="33" t="n">
        <f aca="false">ROUND(F370+F369-F372+F379-F380+F374-F381,6)</f>
        <v>0</v>
      </c>
    </row>
    <row r="385" customFormat="false" ht="15" hidden="false" customHeight="false" outlineLevel="0" collapsed="false">
      <c r="A385" s="10" t="s">
        <v>559</v>
      </c>
      <c r="B385" s="47" t="n">
        <f aca="false">B375</f>
        <v>0</v>
      </c>
      <c r="C385" s="47" t="n">
        <f aca="false">B385+C375</f>
        <v>0</v>
      </c>
      <c r="D385" s="47" t="n">
        <f aca="false">C385+D375</f>
        <v>0</v>
      </c>
      <c r="E385" s="47" t="n">
        <f aca="false">D385+E375</f>
        <v>0</v>
      </c>
      <c r="F385" s="47" t="n">
        <f aca="false">E385+F375</f>
        <v>0</v>
      </c>
    </row>
    <row r="386" customFormat="false" ht="15" hidden="false" customHeight="false" outlineLevel="0" collapsed="false">
      <c r="A386" s="10" t="s">
        <v>560</v>
      </c>
      <c r="B386" s="49" t="str">
        <f aca="false">IF(B385&gt;Inputs!$B$73,"UNFUNDED: above limit",IF(B375&gt;0,"Raising","OK"))</f>
        <v>OK</v>
      </c>
      <c r="C386" s="49" t="str">
        <f aca="false">IF(C385&gt;Inputs!$B$73,"UNFUNDED: above limit",IF(C375&gt;0,"Raising","OK"))</f>
        <v>OK</v>
      </c>
      <c r="D386" s="49" t="str">
        <f aca="false">IF(D385&gt;Inputs!$B$73,"UNFUNDED: above limit",IF(D375&gt;0,"Raising","OK"))</f>
        <v>OK</v>
      </c>
      <c r="E386" s="49" t="str">
        <f aca="false">IF(E385&gt;Inputs!$B$73,"UNFUNDED: above limit",IF(E375&gt;0,"Raising","OK"))</f>
        <v>OK</v>
      </c>
      <c r="F386" s="49" t="str">
        <f aca="false">IF(F385&gt;Inputs!$B$73,"UNFUNDED: above limit",IF(F375&gt;0,"Raising","OK"))</f>
        <v>OK</v>
      </c>
    </row>
    <row r="387" customFormat="false" ht="15" hidden="false" customHeight="false" outlineLevel="0" collapsed="false">
      <c r="A387" s="10" t="s">
        <v>561</v>
      </c>
      <c r="B387" s="47" t="n">
        <f aca="false">$F$344</f>
        <v>65.8243179088494</v>
      </c>
    </row>
    <row r="388" customFormat="false" ht="15" hidden="false" customHeight="false" outlineLevel="0" collapsed="false">
      <c r="A388" s="10" t="s">
        <v>562</v>
      </c>
      <c r="B388" s="19" t="n">
        <f aca="false">IF(Inputs!$B$8=1,Inputs!$B$79,IFERROR($F$363/$F$344,0))</f>
        <v>0.2416</v>
      </c>
    </row>
    <row r="389" customFormat="false" ht="15" hidden="false" customHeight="false" outlineLevel="0" collapsed="false">
      <c r="A389" s="10" t="s">
        <v>563</v>
      </c>
      <c r="B389" s="47" t="n">
        <f aca="false">$B$387*(1-$B$388)</f>
        <v>49.9211627020714</v>
      </c>
    </row>
    <row r="390" customFormat="false" ht="15" hidden="false" customHeight="false" outlineLevel="0" collapsed="false">
      <c r="A390" s="10" t="s">
        <v>564</v>
      </c>
      <c r="B390" s="50" t="n">
        <f aca="false">Inputs!$D$152</f>
        <v>60</v>
      </c>
    </row>
    <row r="391" customFormat="false" ht="15" hidden="false" customHeight="false" outlineLevel="0" collapsed="false">
      <c r="A391" s="10" t="s">
        <v>565</v>
      </c>
      <c r="B391" s="47" t="n">
        <f aca="false">$B$389*$B$390*$F$527</f>
        <v>1973.07696823119</v>
      </c>
    </row>
    <row r="392" customFormat="false" ht="15" hidden="false" customHeight="false" outlineLevel="0" collapsed="false">
      <c r="A392" s="10" t="s">
        <v>566</v>
      </c>
      <c r="B392" s="47" t="n">
        <f aca="false">SUMPRODUCT($C$368:$F$368,$C$527:$F$527)</f>
        <v>17.5356254422737</v>
      </c>
    </row>
    <row r="393" customFormat="false" ht="15" hidden="false" customHeight="false" outlineLevel="0" collapsed="false">
      <c r="A393" s="10" t="s">
        <v>567</v>
      </c>
      <c r="B393" s="18" t="n">
        <f aca="false">$B$391+$B$392</f>
        <v>1990.61259367347</v>
      </c>
    </row>
    <row r="394" customFormat="false" ht="15" hidden="false" customHeight="false" outlineLevel="0" collapsed="false">
      <c r="A394" s="10" t="s">
        <v>568</v>
      </c>
      <c r="B394" s="47" t="n">
        <f aca="false">$B$389+$F$343-$F$346-$F$367</f>
        <v>27.9860699727362</v>
      </c>
    </row>
    <row r="395" customFormat="false" ht="15" hidden="false" customHeight="false" outlineLevel="0" collapsed="false">
      <c r="A395" s="10" t="s">
        <v>569</v>
      </c>
      <c r="B395" s="50" t="n">
        <f aca="false">Inputs!$D$153</f>
        <v>48</v>
      </c>
    </row>
    <row r="396" customFormat="false" ht="15" hidden="false" customHeight="false" outlineLevel="0" collapsed="false">
      <c r="A396" s="10" t="s">
        <v>570</v>
      </c>
      <c r="B396" s="47" t="n">
        <f aca="false">$B$394*$B$395*$F$527</f>
        <v>884.893974510271</v>
      </c>
    </row>
    <row r="397" customFormat="false" ht="15" hidden="false" customHeight="false" outlineLevel="0" collapsed="false">
      <c r="A397" s="10" t="s">
        <v>571</v>
      </c>
      <c r="B397" s="18" t="n">
        <f aca="false">$B$392+$B$396</f>
        <v>902.429599952545</v>
      </c>
    </row>
    <row r="398" customFormat="false" ht="15" hidden="false" customHeight="false" outlineLevel="0" collapsed="false">
      <c r="A398" s="13" t="s">
        <v>572</v>
      </c>
      <c r="B398" s="18" t="n">
        <f aca="false">$B$393*Inputs!$B$7+$B$397*(1-Inputs!$B$7)</f>
        <v>1446.52109681301</v>
      </c>
    </row>
    <row r="399" customFormat="false" ht="15" hidden="false" customHeight="false" outlineLevel="0" collapsed="false">
      <c r="A399" s="10" t="s">
        <v>573</v>
      </c>
      <c r="B399" s="47" t="n">
        <f aca="false">MAX(0,$F$349)</f>
        <v>52.6632622712483</v>
      </c>
      <c r="H399" s="51" t="n">
        <v>1</v>
      </c>
      <c r="I399" s="51" t="n">
        <v>2</v>
      </c>
      <c r="J399" s="51" t="n">
        <v>3</v>
      </c>
      <c r="K399" s="51" t="n">
        <v>4</v>
      </c>
      <c r="L399" s="51" t="n">
        <v>5</v>
      </c>
      <c r="M399" s="51" t="n">
        <v>6</v>
      </c>
      <c r="N399" s="51" t="n">
        <v>7</v>
      </c>
      <c r="O399" s="51" t="n">
        <v>8</v>
      </c>
      <c r="P399" s="51" t="n">
        <v>9</v>
      </c>
      <c r="Q399" s="51" t="n">
        <v>10</v>
      </c>
      <c r="R399" s="51" t="n">
        <v>11</v>
      </c>
      <c r="S399" s="51" t="n">
        <v>12</v>
      </c>
      <c r="T399" s="51" t="n">
        <v>13</v>
      </c>
      <c r="U399" s="51" t="n">
        <v>14</v>
      </c>
      <c r="V399" s="51" t="n">
        <v>15</v>
      </c>
      <c r="W399" s="51" t="n">
        <v>16</v>
      </c>
      <c r="X399" s="51" t="n">
        <v>17</v>
      </c>
      <c r="Y399" s="51" t="n">
        <v>18</v>
      </c>
      <c r="Z399" s="51" t="n">
        <v>19</v>
      </c>
      <c r="AA399" s="51" t="n">
        <v>20</v>
      </c>
      <c r="AB399" s="51" t="n">
        <v>21</v>
      </c>
      <c r="AC399" s="51" t="n">
        <v>22</v>
      </c>
      <c r="AD399" s="51" t="n">
        <v>23</v>
      </c>
      <c r="AE399" s="51" t="n">
        <v>24</v>
      </c>
      <c r="AF399" s="51" t="n">
        <v>25</v>
      </c>
      <c r="AG399" s="51" t="n">
        <v>26</v>
      </c>
      <c r="AH399" s="51" t="n">
        <v>27</v>
      </c>
      <c r="AI399" s="51" t="n">
        <v>28</v>
      </c>
      <c r="AJ399" s="51" t="n">
        <v>29</v>
      </c>
      <c r="AK399" s="51" t="n">
        <v>30</v>
      </c>
    </row>
    <row r="400" customFormat="false" ht="15" hidden="false" customHeight="false" outlineLevel="0" collapsed="false">
      <c r="A400" s="10" t="s">
        <v>574</v>
      </c>
      <c r="H400" s="25" t="n">
        <f aca="false">1/(1+Inputs!$B$6)^1</f>
        <v>0.900900900900901</v>
      </c>
      <c r="I400" s="25" t="n">
        <f aca="false">1/(1+Inputs!$B$6)^2</f>
        <v>0.811622433244055</v>
      </c>
      <c r="J400" s="25" t="n">
        <f aca="false">1/(1+Inputs!$B$6)^3</f>
        <v>0.73119138130095</v>
      </c>
      <c r="K400" s="25" t="n">
        <f aca="false">1/(1+Inputs!$B$6)^4</f>
        <v>0.658730974145</v>
      </c>
      <c r="L400" s="25" t="n">
        <f aca="false">1/(1+Inputs!$B$6)^5</f>
        <v>0.593451328058559</v>
      </c>
      <c r="M400" s="25" t="n">
        <f aca="false">1/(1+Inputs!$B$6)^6</f>
        <v>0.534640836088791</v>
      </c>
      <c r="N400" s="25" t="n">
        <f aca="false">1/(1+Inputs!$B$6)^7</f>
        <v>0.481658410890803</v>
      </c>
      <c r="O400" s="25" t="n">
        <f aca="false">1/(1+Inputs!$B$6)^8</f>
        <v>0.433926496298021</v>
      </c>
      <c r="P400" s="25" t="n">
        <f aca="false">1/(1+Inputs!$B$6)^9</f>
        <v>0.390924771439658</v>
      </c>
      <c r="Q400" s="25" t="n">
        <f aca="false">1/(1+Inputs!$B$6)^10</f>
        <v>0.352184478774467</v>
      </c>
      <c r="R400" s="25" t="n">
        <f aca="false">1/(1+Inputs!$B$6)^11</f>
        <v>0.317283314211231</v>
      </c>
      <c r="S400" s="25" t="n">
        <f aca="false">1/(1+Inputs!$B$6)^12</f>
        <v>0.285840823613722</v>
      </c>
      <c r="T400" s="25" t="n">
        <f aca="false">1/(1+Inputs!$B$6)^13</f>
        <v>0.257514255507858</v>
      </c>
      <c r="U400" s="25" t="n">
        <f aca="false">1/(1+Inputs!$B$6)^14</f>
        <v>0.231994824781854</v>
      </c>
      <c r="V400" s="25" t="n">
        <f aca="false">1/(1+Inputs!$B$6)^15</f>
        <v>0.209004346650319</v>
      </c>
      <c r="W400" s="25" t="n">
        <f aca="false">1/(1+Inputs!$B$6)^16</f>
        <v>0.188292204189476</v>
      </c>
      <c r="X400" s="25" t="n">
        <f aca="false">1/(1+Inputs!$B$6)^17</f>
        <v>0.169632616386915</v>
      </c>
      <c r="Y400" s="25" t="n">
        <f aca="false">1/(1+Inputs!$B$6)^18</f>
        <v>0.152822176925149</v>
      </c>
      <c r="Z400" s="25" t="n">
        <f aca="false">1/(1+Inputs!$B$6)^19</f>
        <v>0.137677636869504</v>
      </c>
      <c r="AA400" s="25" t="n">
        <f aca="false">1/(1+Inputs!$B$6)^20</f>
        <v>0.124033907089643</v>
      </c>
      <c r="AB400" s="25" t="n">
        <f aca="false">1/(1+Inputs!$B$6)^21</f>
        <v>0.111742258639318</v>
      </c>
      <c r="AC400" s="25" t="n">
        <f aca="false">1/(1+Inputs!$B$6)^22</f>
        <v>0.100668701476863</v>
      </c>
      <c r="AD400" s="25" t="n">
        <f aca="false">1/(1+Inputs!$B$6)^23</f>
        <v>0.0906925238530297</v>
      </c>
      <c r="AE400" s="25" t="n">
        <f aca="false">1/(1+Inputs!$B$6)^24</f>
        <v>0.0817049764441709</v>
      </c>
      <c r="AF400" s="25" t="n">
        <f aca="false">1/(1+Inputs!$B$6)^25</f>
        <v>0.0736080868866405</v>
      </c>
      <c r="AG400" s="25" t="n">
        <f aca="false">1/(1+Inputs!$B$6)^26</f>
        <v>0.0663135917897662</v>
      </c>
      <c r="AH400" s="25" t="n">
        <f aca="false">1/(1+Inputs!$B$6)^27</f>
        <v>0.0597419745853749</v>
      </c>
      <c r="AI400" s="25" t="n">
        <f aca="false">1/(1+Inputs!$B$6)^28</f>
        <v>0.053821598725563</v>
      </c>
      <c r="AJ400" s="25" t="n">
        <f aca="false">1/(1+Inputs!$B$6)^29</f>
        <v>0.0484879267797865</v>
      </c>
      <c r="AK400" s="25" t="n">
        <f aca="false">1/(1+Inputs!$B$6)^30</f>
        <v>0.0436828169187266</v>
      </c>
    </row>
    <row r="401" customFormat="false" ht="15" hidden="false" customHeight="false" outlineLevel="0" collapsed="false">
      <c r="A401" s="10" t="s">
        <v>575</v>
      </c>
      <c r="G401" s="47" t="n">
        <f aca="false">$F$352</f>
        <v>0</v>
      </c>
      <c r="H401" s="47" t="n">
        <f aca="false">G401</f>
        <v>0</v>
      </c>
      <c r="I401" s="47" t="n">
        <f aca="false">H401-H402</f>
        <v>0</v>
      </c>
      <c r="J401" s="47" t="n">
        <f aca="false">I401-I402</f>
        <v>0</v>
      </c>
      <c r="K401" s="47" t="n">
        <f aca="false">J401-J402</f>
        <v>0</v>
      </c>
      <c r="L401" s="47" t="n">
        <f aca="false">K401-K402</f>
        <v>0</v>
      </c>
      <c r="M401" s="47" t="n">
        <f aca="false">L401-L402</f>
        <v>0</v>
      </c>
      <c r="N401" s="47" t="n">
        <f aca="false">M401-M402</f>
        <v>0</v>
      </c>
      <c r="O401" s="47" t="n">
        <f aca="false">N401-N402</f>
        <v>0</v>
      </c>
      <c r="P401" s="47" t="n">
        <f aca="false">O401-O402</f>
        <v>0</v>
      </c>
      <c r="Q401" s="47" t="n">
        <f aca="false">P401-P402</f>
        <v>0</v>
      </c>
      <c r="R401" s="47" t="n">
        <f aca="false">Q401-Q402</f>
        <v>0</v>
      </c>
      <c r="S401" s="47" t="n">
        <f aca="false">R401-R402</f>
        <v>0</v>
      </c>
      <c r="T401" s="47" t="n">
        <f aca="false">S401-S402</f>
        <v>0</v>
      </c>
      <c r="U401" s="47" t="n">
        <f aca="false">T401-T402</f>
        <v>0</v>
      </c>
      <c r="V401" s="47" t="n">
        <f aca="false">U401-U402</f>
        <v>0</v>
      </c>
      <c r="W401" s="47" t="n">
        <f aca="false">V401-V402</f>
        <v>0</v>
      </c>
      <c r="X401" s="47" t="n">
        <f aca="false">W401-W402</f>
        <v>0</v>
      </c>
      <c r="Y401" s="47" t="n">
        <f aca="false">X401-X402</f>
        <v>0</v>
      </c>
      <c r="Z401" s="47" t="n">
        <f aca="false">Y401-Y402</f>
        <v>0</v>
      </c>
      <c r="AA401" s="47" t="n">
        <f aca="false">Z401-Z402</f>
        <v>0</v>
      </c>
      <c r="AB401" s="47" t="n">
        <f aca="false">AA401-AA402</f>
        <v>0</v>
      </c>
      <c r="AC401" s="47" t="n">
        <f aca="false">AB401-AB402</f>
        <v>0</v>
      </c>
      <c r="AD401" s="47" t="n">
        <f aca="false">AC401-AC402</f>
        <v>0</v>
      </c>
      <c r="AE401" s="47" t="n">
        <f aca="false">AD401-AD402</f>
        <v>0</v>
      </c>
      <c r="AF401" s="47" t="n">
        <f aca="false">AE401-AE402</f>
        <v>0</v>
      </c>
      <c r="AG401" s="47" t="n">
        <f aca="false">AF401-AF402</f>
        <v>0</v>
      </c>
      <c r="AH401" s="47" t="n">
        <f aca="false">AG401-AG402</f>
        <v>0</v>
      </c>
      <c r="AI401" s="47" t="n">
        <f aca="false">AH401-AH402</f>
        <v>0</v>
      </c>
      <c r="AJ401" s="47" t="n">
        <f aca="false">AI401-AI402</f>
        <v>0</v>
      </c>
      <c r="AK401" s="47" t="n">
        <f aca="false">AJ401-AJ402</f>
        <v>0</v>
      </c>
    </row>
    <row r="402" customFormat="false" ht="15" hidden="false" customHeight="false" outlineLevel="0" collapsed="false">
      <c r="A402" s="10" t="s">
        <v>576</v>
      </c>
      <c r="H402" s="47" t="n">
        <f aca="false">IF(1&lt;=Inputs!$B$44,MIN(H401,$B$399,1E+099),0)</f>
        <v>0</v>
      </c>
      <c r="I402" s="47" t="n">
        <f aca="false">IF(2&lt;=Inputs!$B$44,MIN(I401,$B$399,1E+099),0)</f>
        <v>0</v>
      </c>
      <c r="J402" s="47" t="n">
        <f aca="false">IF(3&lt;=Inputs!$B$44,MIN(J401,$B$399,1E+099),0)</f>
        <v>0</v>
      </c>
      <c r="K402" s="47" t="n">
        <f aca="false">IF(4&lt;=Inputs!$B$44,MIN(K401,$B$399,1E+099),0)</f>
        <v>0</v>
      </c>
      <c r="L402" s="47" t="n">
        <f aca="false">IF(5&lt;=Inputs!$B$44,MIN(L401,$B$399,1E+099),0)</f>
        <v>0</v>
      </c>
      <c r="M402" s="47" t="n">
        <f aca="false">IF(6&lt;=Inputs!$B$44,MIN(M401,$B$399,1E+099),0)</f>
        <v>0</v>
      </c>
      <c r="N402" s="47" t="n">
        <f aca="false">IF(7&lt;=Inputs!$B$44,MIN(N401,$B$399,1E+099),0)</f>
        <v>0</v>
      </c>
      <c r="O402" s="47" t="n">
        <f aca="false">IF(8&lt;=Inputs!$B$44,MIN(O401,$B$399,1E+099),0)</f>
        <v>0</v>
      </c>
      <c r="P402" s="47" t="n">
        <f aca="false">IF(9&lt;=Inputs!$B$44,MIN(P401,$B$399,1E+099),0)</f>
        <v>0</v>
      </c>
      <c r="Q402" s="47" t="n">
        <f aca="false">IF(10&lt;=Inputs!$B$44,MIN(Q401,$B$399,1E+099),0)</f>
        <v>0</v>
      </c>
      <c r="R402" s="47" t="n">
        <f aca="false">IF(11&lt;=Inputs!$B$44,MIN(R401,$B$399,1E+099),0)</f>
        <v>0</v>
      </c>
      <c r="S402" s="47" t="n">
        <f aca="false">IF(12&lt;=Inputs!$B$44,MIN(S401,$B$399,1E+099),0)</f>
        <v>0</v>
      </c>
      <c r="T402" s="47" t="n">
        <f aca="false">IF(13&lt;=Inputs!$B$44,MIN(T401,$B$399,1E+099),0)</f>
        <v>0</v>
      </c>
      <c r="U402" s="47" t="n">
        <f aca="false">IF(14&lt;=Inputs!$B$44,MIN(U401,$B$399,1E+099),0)</f>
        <v>0</v>
      </c>
      <c r="V402" s="47" t="n">
        <f aca="false">IF(15&lt;=Inputs!$B$44,MIN(V401,$B$399,1E+099),0)</f>
        <v>0</v>
      </c>
      <c r="W402" s="47" t="n">
        <f aca="false">IF(16&lt;=Inputs!$B$44,MIN(W401,$B$399,1E+099),0)</f>
        <v>0</v>
      </c>
      <c r="X402" s="47" t="n">
        <f aca="false">IF(17&lt;=Inputs!$B$44,MIN(X401,$B$399,1E+099),0)</f>
        <v>0</v>
      </c>
      <c r="Y402" s="47" t="n">
        <f aca="false">IF(18&lt;=Inputs!$B$44,MIN(Y401,$B$399,1E+099),0)</f>
        <v>0</v>
      </c>
      <c r="Z402" s="47" t="n">
        <f aca="false">IF(19&lt;=Inputs!$B$44,MIN(Z401,$B$399,1E+099),0)</f>
        <v>0</v>
      </c>
      <c r="AA402" s="47" t="n">
        <f aca="false">IF(20&lt;=Inputs!$B$44,MIN(AA401,$B$399,1E+099),0)</f>
        <v>0</v>
      </c>
      <c r="AB402" s="47" t="n">
        <f aca="false">IF(21&lt;=Inputs!$B$44,MIN(AB401,$B$399,1E+099),0)</f>
        <v>0</v>
      </c>
      <c r="AC402" s="47" t="n">
        <f aca="false">IF(22&lt;=Inputs!$B$44,MIN(AC401,$B$399,1E+099),0)</f>
        <v>0</v>
      </c>
      <c r="AD402" s="47" t="n">
        <f aca="false">IF(23&lt;=Inputs!$B$44,MIN(AD401,$B$399,1E+099),0)</f>
        <v>0</v>
      </c>
      <c r="AE402" s="47" t="n">
        <f aca="false">IF(24&lt;=Inputs!$B$44,MIN(AE401,$B$399,1E+099),0)</f>
        <v>0</v>
      </c>
      <c r="AF402" s="47" t="n">
        <f aca="false">IF(25&lt;=Inputs!$B$44,MIN(AF401,$B$399,1E+099),0)</f>
        <v>0</v>
      </c>
      <c r="AG402" s="47" t="n">
        <f aca="false">IF(26&lt;=Inputs!$B$44,MIN(AG401,$B$399,1E+099),0)</f>
        <v>0</v>
      </c>
      <c r="AH402" s="47" t="n">
        <f aca="false">IF(27&lt;=Inputs!$B$44,MIN(AH401,$B$399,1E+099),0)</f>
        <v>0</v>
      </c>
      <c r="AI402" s="47" t="n">
        <f aca="false">IF(28&lt;=Inputs!$B$44,MIN(AI401,$B$399,1E+099),0)</f>
        <v>0</v>
      </c>
      <c r="AJ402" s="47" t="n">
        <f aca="false">IF(29&lt;=Inputs!$B$44,MIN(AJ401,$B$399,1E+099),0)</f>
        <v>0</v>
      </c>
      <c r="AK402" s="47" t="n">
        <f aca="false">IF(30&lt;=Inputs!$B$44,MIN(AK401,$B$399,1E+099),0)</f>
        <v>0</v>
      </c>
    </row>
    <row r="403" customFormat="false" ht="15" hidden="false" customHeight="false" outlineLevel="0" collapsed="false">
      <c r="A403" s="10" t="s">
        <v>577</v>
      </c>
      <c r="G403" s="47" t="n">
        <f aca="false">$F$353</f>
        <v>0</v>
      </c>
      <c r="H403" s="47" t="n">
        <f aca="false">G403</f>
        <v>0</v>
      </c>
      <c r="I403" s="47" t="n">
        <f aca="false">H403-H404</f>
        <v>0</v>
      </c>
      <c r="J403" s="47" t="n">
        <f aca="false">I403-I404</f>
        <v>0</v>
      </c>
      <c r="K403" s="47" t="n">
        <f aca="false">J403-J404</f>
        <v>0</v>
      </c>
      <c r="L403" s="47" t="n">
        <f aca="false">K403-K404</f>
        <v>0</v>
      </c>
      <c r="M403" s="47" t="n">
        <f aca="false">L403-L404</f>
        <v>0</v>
      </c>
      <c r="N403" s="47" t="n">
        <f aca="false">M403-M404</f>
        <v>0</v>
      </c>
      <c r="O403" s="47" t="n">
        <f aca="false">N403-N404</f>
        <v>0</v>
      </c>
      <c r="P403" s="47" t="n">
        <f aca="false">O403-O404</f>
        <v>0</v>
      </c>
      <c r="Q403" s="47" t="n">
        <f aca="false">P403-P404</f>
        <v>0</v>
      </c>
      <c r="R403" s="47" t="n">
        <f aca="false">Q403-Q404</f>
        <v>0</v>
      </c>
      <c r="S403" s="47" t="n">
        <f aca="false">R403-R404</f>
        <v>0</v>
      </c>
      <c r="T403" s="47" t="n">
        <f aca="false">S403-S404</f>
        <v>0</v>
      </c>
      <c r="U403" s="47" t="n">
        <f aca="false">T403-T404</f>
        <v>0</v>
      </c>
      <c r="V403" s="47" t="n">
        <f aca="false">U403-U404</f>
        <v>0</v>
      </c>
      <c r="W403" s="47" t="n">
        <f aca="false">V403-V404</f>
        <v>0</v>
      </c>
      <c r="X403" s="47" t="n">
        <f aca="false">W403-W404</f>
        <v>0</v>
      </c>
      <c r="Y403" s="47" t="n">
        <f aca="false">X403-X404</f>
        <v>0</v>
      </c>
      <c r="Z403" s="47" t="n">
        <f aca="false">Y403-Y404</f>
        <v>0</v>
      </c>
      <c r="AA403" s="47" t="n">
        <f aca="false">Z403-Z404</f>
        <v>0</v>
      </c>
      <c r="AB403" s="47" t="n">
        <f aca="false">AA403-AA404</f>
        <v>0</v>
      </c>
      <c r="AC403" s="47" t="n">
        <f aca="false">AB403-AB404</f>
        <v>0</v>
      </c>
      <c r="AD403" s="47" t="n">
        <f aca="false">AC403-AC404</f>
        <v>0</v>
      </c>
      <c r="AE403" s="47" t="n">
        <f aca="false">AD403-AD404</f>
        <v>0</v>
      </c>
      <c r="AF403" s="47" t="n">
        <f aca="false">AE403-AE404</f>
        <v>0</v>
      </c>
      <c r="AG403" s="47" t="n">
        <f aca="false">AF403-AF404</f>
        <v>0</v>
      </c>
      <c r="AH403" s="47" t="n">
        <f aca="false">AG403-AG404</f>
        <v>0</v>
      </c>
      <c r="AI403" s="47" t="n">
        <f aca="false">AH403-AH404</f>
        <v>0</v>
      </c>
      <c r="AJ403" s="47" t="n">
        <f aca="false">AI403-AI404</f>
        <v>0</v>
      </c>
      <c r="AK403" s="47" t="n">
        <f aca="false">AJ403-AJ404</f>
        <v>0</v>
      </c>
    </row>
    <row r="404" customFormat="false" ht="15" hidden="false" customHeight="false" outlineLevel="0" collapsed="false">
      <c r="A404" s="10" t="s">
        <v>576</v>
      </c>
      <c r="H404" s="47" t="n">
        <f aca="false">IF(1&lt;=Inputs!$B$44,MIN(H403,$B$399-H402),0)</f>
        <v>0</v>
      </c>
      <c r="I404" s="47" t="n">
        <f aca="false">IF(2&lt;=Inputs!$B$44,MIN(I403,$B$399-I402),0)</f>
        <v>0</v>
      </c>
      <c r="J404" s="47" t="n">
        <f aca="false">IF(3&lt;=Inputs!$B$44,MIN(J403,$B$399-J402),0)</f>
        <v>0</v>
      </c>
      <c r="K404" s="47" t="n">
        <f aca="false">IF(4&lt;=Inputs!$B$44,MIN(K403,$B$399-K402),0)</f>
        <v>0</v>
      </c>
      <c r="L404" s="47" t="n">
        <f aca="false">IF(5&lt;=Inputs!$B$44,MIN(L403,$B$399-L402),0)</f>
        <v>0</v>
      </c>
      <c r="M404" s="47" t="n">
        <f aca="false">IF(6&lt;=Inputs!$B$44,MIN(M403,$B$399-M402),0)</f>
        <v>0</v>
      </c>
      <c r="N404" s="47" t="n">
        <f aca="false">IF(7&lt;=Inputs!$B$44,MIN(N403,$B$399-N402),0)</f>
        <v>0</v>
      </c>
      <c r="O404" s="47" t="n">
        <f aca="false">IF(8&lt;=Inputs!$B$44,MIN(O403,$B$399-O402),0)</f>
        <v>0</v>
      </c>
      <c r="P404" s="47" t="n">
        <f aca="false">IF(9&lt;=Inputs!$B$44,MIN(P403,$B$399-P402),0)</f>
        <v>0</v>
      </c>
      <c r="Q404" s="47" t="n">
        <f aca="false">IF(10&lt;=Inputs!$B$44,MIN(Q403,$B$399-Q402),0)</f>
        <v>0</v>
      </c>
      <c r="R404" s="47" t="n">
        <f aca="false">IF(11&lt;=Inputs!$B$44,MIN(R403,$B$399-R402),0)</f>
        <v>0</v>
      </c>
      <c r="S404" s="47" t="n">
        <f aca="false">IF(12&lt;=Inputs!$B$44,MIN(S403,$B$399-S402),0)</f>
        <v>0</v>
      </c>
      <c r="T404" s="47" t="n">
        <f aca="false">IF(13&lt;=Inputs!$B$44,MIN(T403,$B$399-T402),0)</f>
        <v>0</v>
      </c>
      <c r="U404" s="47" t="n">
        <f aca="false">IF(14&lt;=Inputs!$B$44,MIN(U403,$B$399-U402),0)</f>
        <v>0</v>
      </c>
      <c r="V404" s="47" t="n">
        <f aca="false">IF(15&lt;=Inputs!$B$44,MIN(V403,$B$399-V402),0)</f>
        <v>0</v>
      </c>
      <c r="W404" s="47" t="n">
        <f aca="false">IF(16&lt;=Inputs!$B$44,MIN(W403,$B$399-W402),0)</f>
        <v>0</v>
      </c>
      <c r="X404" s="47" t="n">
        <f aca="false">IF(17&lt;=Inputs!$B$44,MIN(X403,$B$399-X402),0)</f>
        <v>0</v>
      </c>
      <c r="Y404" s="47" t="n">
        <f aca="false">IF(18&lt;=Inputs!$B$44,MIN(Y403,$B$399-Y402),0)</f>
        <v>0</v>
      </c>
      <c r="Z404" s="47" t="n">
        <f aca="false">IF(19&lt;=Inputs!$B$44,MIN(Z403,$B$399-Z402),0)</f>
        <v>0</v>
      </c>
      <c r="AA404" s="47" t="n">
        <f aca="false">IF(20&lt;=Inputs!$B$44,MIN(AA403,$B$399-AA402),0)</f>
        <v>0</v>
      </c>
      <c r="AB404" s="47" t="n">
        <f aca="false">IF(21&lt;=Inputs!$B$44,MIN(AB403,$B$399-AB402),0)</f>
        <v>0</v>
      </c>
      <c r="AC404" s="47" t="n">
        <f aca="false">IF(22&lt;=Inputs!$B$44,MIN(AC403,$B$399-AC402),0)</f>
        <v>0</v>
      </c>
      <c r="AD404" s="47" t="n">
        <f aca="false">IF(23&lt;=Inputs!$B$44,MIN(AD403,$B$399-AD402),0)</f>
        <v>0</v>
      </c>
      <c r="AE404" s="47" t="n">
        <f aca="false">IF(24&lt;=Inputs!$B$44,MIN(AE403,$B$399-AE402),0)</f>
        <v>0</v>
      </c>
      <c r="AF404" s="47" t="n">
        <f aca="false">IF(25&lt;=Inputs!$B$44,MIN(AF403,$B$399-AF402),0)</f>
        <v>0</v>
      </c>
      <c r="AG404" s="47" t="n">
        <f aca="false">IF(26&lt;=Inputs!$B$44,MIN(AG403,$B$399-AG402),0)</f>
        <v>0</v>
      </c>
      <c r="AH404" s="47" t="n">
        <f aca="false">IF(27&lt;=Inputs!$B$44,MIN(AH403,$B$399-AH402),0)</f>
        <v>0</v>
      </c>
      <c r="AI404" s="47" t="n">
        <f aca="false">IF(28&lt;=Inputs!$B$44,MIN(AI403,$B$399-AI402),0)</f>
        <v>0</v>
      </c>
      <c r="AJ404" s="47" t="n">
        <f aca="false">IF(29&lt;=Inputs!$B$44,MIN(AJ403,$B$399-AJ402),0)</f>
        <v>0</v>
      </c>
      <c r="AK404" s="47" t="n">
        <f aca="false">IF(30&lt;=Inputs!$B$44,MIN(AK403,$B$399-AK402),0)</f>
        <v>0</v>
      </c>
    </row>
    <row r="405" customFormat="false" ht="15" hidden="false" customHeight="false" outlineLevel="0" collapsed="false">
      <c r="A405" s="10" t="s">
        <v>578</v>
      </c>
      <c r="H405" s="47" t="n">
        <f aca="false">($B$399-H402-H404)*Inputs!$B$34</f>
        <v>2.10653049084993</v>
      </c>
      <c r="I405" s="47" t="n">
        <f aca="false">($B$399-I402-I404)*Inputs!$B$34</f>
        <v>2.10653049084993</v>
      </c>
      <c r="J405" s="47" t="n">
        <f aca="false">($B$399-J402-J404)*Inputs!$B$34</f>
        <v>2.10653049084993</v>
      </c>
      <c r="K405" s="47" t="n">
        <f aca="false">($B$399-K402-K404)*Inputs!$B$34</f>
        <v>2.10653049084993</v>
      </c>
      <c r="L405" s="47" t="n">
        <f aca="false">($B$399-L402-L404)*Inputs!$B$34</f>
        <v>2.10653049084993</v>
      </c>
      <c r="M405" s="47" t="n">
        <f aca="false">($B$399-M402-M404)*Inputs!$B$34</f>
        <v>2.10653049084993</v>
      </c>
      <c r="N405" s="47" t="n">
        <f aca="false">($B$399-N402-N404)*Inputs!$B$34</f>
        <v>2.10653049084993</v>
      </c>
      <c r="O405" s="47" t="n">
        <f aca="false">($B$399-O402-O404)*Inputs!$B$34</f>
        <v>2.10653049084993</v>
      </c>
      <c r="P405" s="47" t="n">
        <f aca="false">($B$399-P402-P404)*Inputs!$B$34</f>
        <v>2.10653049084993</v>
      </c>
      <c r="Q405" s="47" t="n">
        <f aca="false">($B$399-Q402-Q404)*Inputs!$B$34</f>
        <v>2.10653049084993</v>
      </c>
      <c r="R405" s="47" t="n">
        <f aca="false">($B$399-R402-R404)*Inputs!$B$34</f>
        <v>2.10653049084993</v>
      </c>
      <c r="S405" s="47" t="n">
        <f aca="false">($B$399-S402-S404)*Inputs!$B$34</f>
        <v>2.10653049084993</v>
      </c>
      <c r="T405" s="47" t="n">
        <f aca="false">($B$399-T402-T404)*Inputs!$B$34</f>
        <v>2.10653049084993</v>
      </c>
      <c r="U405" s="47" t="n">
        <f aca="false">($B$399-U402-U404)*Inputs!$B$34</f>
        <v>2.10653049084993</v>
      </c>
      <c r="V405" s="47" t="n">
        <f aca="false">($B$399-V402-V404)*Inputs!$B$34</f>
        <v>2.10653049084993</v>
      </c>
      <c r="W405" s="47" t="n">
        <f aca="false">($B$399-W402-W404)*Inputs!$B$34</f>
        <v>2.10653049084993</v>
      </c>
      <c r="X405" s="47" t="n">
        <f aca="false">($B$399-X402-X404)*Inputs!$B$34</f>
        <v>2.10653049084993</v>
      </c>
      <c r="Y405" s="47" t="n">
        <f aca="false">($B$399-Y402-Y404)*Inputs!$B$34</f>
        <v>2.10653049084993</v>
      </c>
      <c r="Z405" s="47" t="n">
        <f aca="false">($B$399-Z402-Z404)*Inputs!$B$34</f>
        <v>2.10653049084993</v>
      </c>
      <c r="AA405" s="47" t="n">
        <f aca="false">($B$399-AA402-AA404)*Inputs!$B$34</f>
        <v>2.10653049084993</v>
      </c>
      <c r="AB405" s="47" t="n">
        <f aca="false">($B$399-AB402-AB404)*Inputs!$B$34</f>
        <v>2.10653049084993</v>
      </c>
      <c r="AC405" s="47" t="n">
        <f aca="false">($B$399-AC402-AC404)*Inputs!$B$34</f>
        <v>2.10653049084993</v>
      </c>
      <c r="AD405" s="47" t="n">
        <f aca="false">($B$399-AD402-AD404)*Inputs!$B$34</f>
        <v>2.10653049084993</v>
      </c>
      <c r="AE405" s="47" t="n">
        <f aca="false">($B$399-AE402-AE404)*Inputs!$B$34</f>
        <v>2.10653049084993</v>
      </c>
      <c r="AF405" s="47" t="n">
        <f aca="false">($B$399-AF402-AF404)*Inputs!$B$34</f>
        <v>2.10653049084993</v>
      </c>
      <c r="AG405" s="47" t="n">
        <f aca="false">($B$399-AG402-AG404)*Inputs!$B$34</f>
        <v>2.10653049084993</v>
      </c>
      <c r="AH405" s="47" t="n">
        <f aca="false">($B$399-AH402-AH404)*Inputs!$B$34</f>
        <v>2.10653049084993</v>
      </c>
      <c r="AI405" s="47" t="n">
        <f aca="false">($B$399-AI402-AI404)*Inputs!$B$34</f>
        <v>2.10653049084993</v>
      </c>
      <c r="AJ405" s="47" t="n">
        <f aca="false">($B$399-AJ402-AJ404)*Inputs!$B$34</f>
        <v>2.10653049084993</v>
      </c>
      <c r="AK405" s="47" t="n">
        <f aca="false">($B$399-AK402-AK404)*Inputs!$B$34</f>
        <v>2.10653049084993</v>
      </c>
    </row>
    <row r="406" customFormat="false" ht="15" hidden="false" customHeight="false" outlineLevel="0" collapsed="false">
      <c r="A406" s="10" t="s">
        <v>579</v>
      </c>
      <c r="H406" s="47" t="n">
        <f aca="false">$B$399-H405</f>
        <v>50.5567317803983</v>
      </c>
      <c r="I406" s="47" t="n">
        <f aca="false">$B$399-I405</f>
        <v>50.5567317803983</v>
      </c>
      <c r="J406" s="47" t="n">
        <f aca="false">$B$399-J405</f>
        <v>50.5567317803983</v>
      </c>
      <c r="K406" s="47" t="n">
        <f aca="false">$B$399-K405</f>
        <v>50.5567317803983</v>
      </c>
      <c r="L406" s="47" t="n">
        <f aca="false">$B$399-L405</f>
        <v>50.5567317803983</v>
      </c>
      <c r="M406" s="47" t="n">
        <f aca="false">$B$399-M405</f>
        <v>50.5567317803983</v>
      </c>
      <c r="N406" s="47" t="n">
        <f aca="false">$B$399-N405</f>
        <v>50.5567317803983</v>
      </c>
      <c r="O406" s="47" t="n">
        <f aca="false">$B$399-O405</f>
        <v>50.5567317803983</v>
      </c>
      <c r="P406" s="47" t="n">
        <f aca="false">$B$399-P405</f>
        <v>50.5567317803983</v>
      </c>
      <c r="Q406" s="47" t="n">
        <f aca="false">$B$399-Q405</f>
        <v>50.5567317803983</v>
      </c>
      <c r="R406" s="47" t="n">
        <f aca="false">$B$399-R405</f>
        <v>50.5567317803983</v>
      </c>
      <c r="S406" s="47" t="n">
        <f aca="false">$B$399-S405</f>
        <v>50.5567317803983</v>
      </c>
      <c r="T406" s="47" t="n">
        <f aca="false">$B$399-T405</f>
        <v>50.5567317803983</v>
      </c>
      <c r="U406" s="47" t="n">
        <f aca="false">$B$399-U405</f>
        <v>50.5567317803983</v>
      </c>
      <c r="V406" s="47" t="n">
        <f aca="false">$B$399-V405</f>
        <v>50.5567317803983</v>
      </c>
      <c r="W406" s="47" t="n">
        <f aca="false">$B$399-W405</f>
        <v>50.5567317803983</v>
      </c>
      <c r="X406" s="47" t="n">
        <f aca="false">$B$399-X405</f>
        <v>50.5567317803983</v>
      </c>
      <c r="Y406" s="47" t="n">
        <f aca="false">$B$399-Y405</f>
        <v>50.5567317803983</v>
      </c>
      <c r="Z406" s="47" t="n">
        <f aca="false">$B$399-Z405</f>
        <v>50.5567317803983</v>
      </c>
      <c r="AA406" s="47" t="n">
        <f aca="false">$B$399-AA405</f>
        <v>50.5567317803983</v>
      </c>
      <c r="AB406" s="47" t="n">
        <f aca="false">$B$399-AB405</f>
        <v>50.5567317803983</v>
      </c>
      <c r="AC406" s="47" t="n">
        <f aca="false">$B$399-AC405</f>
        <v>50.5567317803983</v>
      </c>
      <c r="AD406" s="47" t="n">
        <f aca="false">$B$399-AD405</f>
        <v>50.5567317803983</v>
      </c>
      <c r="AE406" s="47" t="n">
        <f aca="false">$B$399-AE405</f>
        <v>50.5567317803983</v>
      </c>
      <c r="AF406" s="47" t="n">
        <f aca="false">$B$399-AF405</f>
        <v>50.5567317803983</v>
      </c>
      <c r="AG406" s="47" t="n">
        <f aca="false">$B$399-AG405</f>
        <v>50.5567317803983</v>
      </c>
      <c r="AH406" s="47" t="n">
        <f aca="false">$B$399-AH405</f>
        <v>50.5567317803983</v>
      </c>
      <c r="AI406" s="47" t="n">
        <f aca="false">$B$399-AI405</f>
        <v>50.5567317803983</v>
      </c>
      <c r="AJ406" s="47" t="n">
        <f aca="false">$B$399-AJ405</f>
        <v>50.5567317803983</v>
      </c>
      <c r="AK406" s="47" t="n">
        <f aca="false">$B$399-AK405</f>
        <v>50.5567317803983</v>
      </c>
    </row>
    <row r="407" customFormat="false" ht="15" hidden="false" customHeight="false" outlineLevel="0" collapsed="false">
      <c r="A407" s="10" t="s">
        <v>580</v>
      </c>
      <c r="G407" s="47" t="n">
        <f aca="false">$F$358</f>
        <v>0</v>
      </c>
      <c r="H407" s="47" t="n">
        <f aca="false">G407</f>
        <v>0</v>
      </c>
      <c r="I407" s="47" t="n">
        <f aca="false">H407-H408</f>
        <v>0</v>
      </c>
      <c r="J407" s="47" t="n">
        <f aca="false">I407-I408</f>
        <v>0</v>
      </c>
      <c r="K407" s="47" t="n">
        <f aca="false">J407-J408</f>
        <v>0</v>
      </c>
      <c r="L407" s="47" t="n">
        <f aca="false">K407-K408</f>
        <v>0</v>
      </c>
      <c r="M407" s="47" t="n">
        <f aca="false">L407-L408</f>
        <v>0</v>
      </c>
      <c r="N407" s="47" t="n">
        <f aca="false">M407-M408</f>
        <v>0</v>
      </c>
      <c r="O407" s="47" t="n">
        <f aca="false">N407-N408</f>
        <v>0</v>
      </c>
      <c r="P407" s="47" t="n">
        <f aca="false">O407-O408</f>
        <v>0</v>
      </c>
      <c r="Q407" s="47" t="n">
        <f aca="false">P407-P408</f>
        <v>0</v>
      </c>
      <c r="R407" s="47" t="n">
        <f aca="false">Q407-Q408</f>
        <v>0</v>
      </c>
      <c r="S407" s="47" t="n">
        <f aca="false">R407-R408</f>
        <v>0</v>
      </c>
      <c r="T407" s="47" t="n">
        <f aca="false">S407-S408</f>
        <v>0</v>
      </c>
      <c r="U407" s="47" t="n">
        <f aca="false">T407-T408</f>
        <v>0</v>
      </c>
      <c r="V407" s="47" t="n">
        <f aca="false">U407-U408</f>
        <v>0</v>
      </c>
      <c r="W407" s="47" t="n">
        <f aca="false">V407-V408</f>
        <v>0</v>
      </c>
      <c r="X407" s="47" t="n">
        <f aca="false">W407-W408</f>
        <v>0</v>
      </c>
      <c r="Y407" s="47" t="n">
        <f aca="false">X407-X408</f>
        <v>0</v>
      </c>
      <c r="Z407" s="47" t="n">
        <f aca="false">Y407-Y408</f>
        <v>0</v>
      </c>
      <c r="AA407" s="47" t="n">
        <f aca="false">Z407-Z408</f>
        <v>0</v>
      </c>
      <c r="AB407" s="47" t="n">
        <f aca="false">AA407-AA408</f>
        <v>0</v>
      </c>
      <c r="AC407" s="47" t="n">
        <f aca="false">AB407-AB408</f>
        <v>0</v>
      </c>
      <c r="AD407" s="47" t="n">
        <f aca="false">AC407-AC408</f>
        <v>0</v>
      </c>
      <c r="AE407" s="47" t="n">
        <f aca="false">AD407-AD408</f>
        <v>0</v>
      </c>
      <c r="AF407" s="47" t="n">
        <f aca="false">AE407-AE408</f>
        <v>0</v>
      </c>
      <c r="AG407" s="47" t="n">
        <f aca="false">AF407-AF408</f>
        <v>0</v>
      </c>
      <c r="AH407" s="47" t="n">
        <f aca="false">AG407-AG408</f>
        <v>0</v>
      </c>
      <c r="AI407" s="47" t="n">
        <f aca="false">AH407-AH408</f>
        <v>0</v>
      </c>
      <c r="AJ407" s="47" t="n">
        <f aca="false">AI407-AI408</f>
        <v>0</v>
      </c>
      <c r="AK407" s="47" t="n">
        <f aca="false">AJ407-AJ408</f>
        <v>0</v>
      </c>
    </row>
    <row r="408" customFormat="false" ht="15" hidden="false" customHeight="false" outlineLevel="0" collapsed="false">
      <c r="A408" s="10" t="s">
        <v>581</v>
      </c>
      <c r="H408" s="47" t="n">
        <f aca="false">MIN(H407,Inputs!$B$35*H406,1E+099)</f>
        <v>0</v>
      </c>
      <c r="I408" s="47" t="n">
        <f aca="false">MIN(I407,Inputs!$B$35*I406,1E+099)</f>
        <v>0</v>
      </c>
      <c r="J408" s="47" t="n">
        <f aca="false">MIN(J407,Inputs!$B$35*J406,1E+099)</f>
        <v>0</v>
      </c>
      <c r="K408" s="47" t="n">
        <f aca="false">MIN(K407,Inputs!$B$35*K406,1E+099)</f>
        <v>0</v>
      </c>
      <c r="L408" s="47" t="n">
        <f aca="false">MIN(L407,Inputs!$B$35*L406,1E+099)</f>
        <v>0</v>
      </c>
      <c r="M408" s="47" t="n">
        <f aca="false">MIN(M407,Inputs!$B$35*M406,1E+099)</f>
        <v>0</v>
      </c>
      <c r="N408" s="47" t="n">
        <f aca="false">MIN(N407,Inputs!$B$35*N406,1E+099)</f>
        <v>0</v>
      </c>
      <c r="O408" s="47" t="n">
        <f aca="false">MIN(O407,Inputs!$B$35*O406,1E+099)</f>
        <v>0</v>
      </c>
      <c r="P408" s="47" t="n">
        <f aca="false">MIN(P407,Inputs!$B$35*P406,1E+099)</f>
        <v>0</v>
      </c>
      <c r="Q408" s="47" t="n">
        <f aca="false">MIN(Q407,Inputs!$B$35*Q406,1E+099)</f>
        <v>0</v>
      </c>
      <c r="R408" s="47" t="n">
        <f aca="false">MIN(R407,Inputs!$B$35*R406,1E+099)</f>
        <v>0</v>
      </c>
      <c r="S408" s="47" t="n">
        <f aca="false">MIN(S407,Inputs!$B$35*S406,1E+099)</f>
        <v>0</v>
      </c>
      <c r="T408" s="47" t="n">
        <f aca="false">MIN(T407,Inputs!$B$35*T406,1E+099)</f>
        <v>0</v>
      </c>
      <c r="U408" s="47" t="n">
        <f aca="false">MIN(U407,Inputs!$B$35*U406,1E+099)</f>
        <v>0</v>
      </c>
      <c r="V408" s="47" t="n">
        <f aca="false">MIN(V407,Inputs!$B$35*V406,1E+099)</f>
        <v>0</v>
      </c>
      <c r="W408" s="47" t="n">
        <f aca="false">MIN(W407,Inputs!$B$35*W406,1E+099)</f>
        <v>0</v>
      </c>
      <c r="X408" s="47" t="n">
        <f aca="false">MIN(X407,Inputs!$B$35*X406,1E+099)</f>
        <v>0</v>
      </c>
      <c r="Y408" s="47" t="n">
        <f aca="false">MIN(Y407,Inputs!$B$35*Y406,1E+099)</f>
        <v>0</v>
      </c>
      <c r="Z408" s="47" t="n">
        <f aca="false">MIN(Z407,Inputs!$B$35*Z406,1E+099)</f>
        <v>0</v>
      </c>
      <c r="AA408" s="47" t="n">
        <f aca="false">MIN(AA407,Inputs!$B$35*AA406,1E+099)</f>
        <v>0</v>
      </c>
      <c r="AB408" s="47" t="n">
        <f aca="false">MIN(AB407,Inputs!$B$35*AB406,1E+099)</f>
        <v>0</v>
      </c>
      <c r="AC408" s="47" t="n">
        <f aca="false">MIN(AC407,Inputs!$B$35*AC406,1E+099)</f>
        <v>0</v>
      </c>
      <c r="AD408" s="47" t="n">
        <f aca="false">MIN(AD407,Inputs!$B$35*AD406,1E+099)</f>
        <v>0</v>
      </c>
      <c r="AE408" s="47" t="n">
        <f aca="false">MIN(AE407,Inputs!$B$35*AE406,1E+099)</f>
        <v>0</v>
      </c>
      <c r="AF408" s="47" t="n">
        <f aca="false">MIN(AF407,Inputs!$B$35*AF406,1E+099)</f>
        <v>0</v>
      </c>
      <c r="AG408" s="47" t="n">
        <f aca="false">MIN(AG407,Inputs!$B$35*AG406,1E+099)</f>
        <v>0</v>
      </c>
      <c r="AH408" s="47" t="n">
        <f aca="false">MIN(AH407,Inputs!$B$35*AH406,1E+099)</f>
        <v>0</v>
      </c>
      <c r="AI408" s="47" t="n">
        <f aca="false">MIN(AI407,Inputs!$B$35*AI406,1E+099)</f>
        <v>0</v>
      </c>
      <c r="AJ408" s="47" t="n">
        <f aca="false">MIN(AJ407,Inputs!$B$35*AJ406,1E+099)</f>
        <v>0</v>
      </c>
      <c r="AK408" s="47" t="n">
        <f aca="false">MIN(AK407,Inputs!$B$35*AK406,1E+099)</f>
        <v>0</v>
      </c>
    </row>
    <row r="409" customFormat="false" ht="15" hidden="false" customHeight="false" outlineLevel="0" collapsed="false">
      <c r="A409" s="10" t="s">
        <v>582</v>
      </c>
      <c r="G409" s="47" t="n">
        <f aca="false">$F$359</f>
        <v>0</v>
      </c>
      <c r="H409" s="47" t="n">
        <f aca="false">G409</f>
        <v>0</v>
      </c>
      <c r="I409" s="47" t="n">
        <f aca="false">H409-H410</f>
        <v>0</v>
      </c>
      <c r="J409" s="47" t="n">
        <f aca="false">I409-I410</f>
        <v>0</v>
      </c>
      <c r="K409" s="47" t="n">
        <f aca="false">J409-J410</f>
        <v>0</v>
      </c>
      <c r="L409" s="47" t="n">
        <f aca="false">K409-K410</f>
        <v>0</v>
      </c>
      <c r="M409" s="47" t="n">
        <f aca="false">L409-L410</f>
        <v>0</v>
      </c>
      <c r="N409" s="47" t="n">
        <f aca="false">M409-M410</f>
        <v>0</v>
      </c>
      <c r="O409" s="47" t="n">
        <f aca="false">N409-N410</f>
        <v>0</v>
      </c>
      <c r="P409" s="47" t="n">
        <f aca="false">O409-O410</f>
        <v>0</v>
      </c>
      <c r="Q409" s="47" t="n">
        <f aca="false">P409-P410</f>
        <v>0</v>
      </c>
      <c r="R409" s="47" t="n">
        <f aca="false">Q409-Q410</f>
        <v>0</v>
      </c>
      <c r="S409" s="47" t="n">
        <f aca="false">R409-R410</f>
        <v>0</v>
      </c>
      <c r="T409" s="47" t="n">
        <f aca="false">S409-S410</f>
        <v>0</v>
      </c>
      <c r="U409" s="47" t="n">
        <f aca="false">T409-T410</f>
        <v>0</v>
      </c>
      <c r="V409" s="47" t="n">
        <f aca="false">U409-U410</f>
        <v>0</v>
      </c>
      <c r="W409" s="47" t="n">
        <f aca="false">V409-V410</f>
        <v>0</v>
      </c>
      <c r="X409" s="47" t="n">
        <f aca="false">W409-W410</f>
        <v>0</v>
      </c>
      <c r="Y409" s="47" t="n">
        <f aca="false">X409-X410</f>
        <v>0</v>
      </c>
      <c r="Z409" s="47" t="n">
        <f aca="false">Y409-Y410</f>
        <v>0</v>
      </c>
      <c r="AA409" s="47" t="n">
        <f aca="false">Z409-Z410</f>
        <v>0</v>
      </c>
      <c r="AB409" s="47" t="n">
        <f aca="false">AA409-AA410</f>
        <v>0</v>
      </c>
      <c r="AC409" s="47" t="n">
        <f aca="false">AB409-AB410</f>
        <v>0</v>
      </c>
      <c r="AD409" s="47" t="n">
        <f aca="false">AC409-AC410</f>
        <v>0</v>
      </c>
      <c r="AE409" s="47" t="n">
        <f aca="false">AD409-AD410</f>
        <v>0</v>
      </c>
      <c r="AF409" s="47" t="n">
        <f aca="false">AE409-AE410</f>
        <v>0</v>
      </c>
      <c r="AG409" s="47" t="n">
        <f aca="false">AF409-AF410</f>
        <v>0</v>
      </c>
      <c r="AH409" s="47" t="n">
        <f aca="false">AG409-AG410</f>
        <v>0</v>
      </c>
      <c r="AI409" s="47" t="n">
        <f aca="false">AH409-AH410</f>
        <v>0</v>
      </c>
      <c r="AJ409" s="47" t="n">
        <f aca="false">AI409-AI410</f>
        <v>0</v>
      </c>
      <c r="AK409" s="47" t="n">
        <f aca="false">AJ409-AJ410</f>
        <v>0</v>
      </c>
    </row>
    <row r="410" customFormat="false" ht="15" hidden="false" customHeight="false" outlineLevel="0" collapsed="false">
      <c r="A410" s="10" t="s">
        <v>576</v>
      </c>
      <c r="H410" s="47" t="n">
        <f aca="false">MIN(H409,Inputs!$B$35*H406-H408)</f>
        <v>0</v>
      </c>
      <c r="I410" s="47" t="n">
        <f aca="false">MIN(I409,Inputs!$B$35*I406-I408)</f>
        <v>0</v>
      </c>
      <c r="J410" s="47" t="n">
        <f aca="false">MIN(J409,Inputs!$B$35*J406-J408)</f>
        <v>0</v>
      </c>
      <c r="K410" s="47" t="n">
        <f aca="false">MIN(K409,Inputs!$B$35*K406-K408)</f>
        <v>0</v>
      </c>
      <c r="L410" s="47" t="n">
        <f aca="false">MIN(L409,Inputs!$B$35*L406-L408)</f>
        <v>0</v>
      </c>
      <c r="M410" s="47" t="n">
        <f aca="false">MIN(M409,Inputs!$B$35*M406-M408)</f>
        <v>0</v>
      </c>
      <c r="N410" s="47" t="n">
        <f aca="false">MIN(N409,Inputs!$B$35*N406-N408)</f>
        <v>0</v>
      </c>
      <c r="O410" s="47" t="n">
        <f aca="false">MIN(O409,Inputs!$B$35*O406-O408)</f>
        <v>0</v>
      </c>
      <c r="P410" s="47" t="n">
        <f aca="false">MIN(P409,Inputs!$B$35*P406-P408)</f>
        <v>0</v>
      </c>
      <c r="Q410" s="47" t="n">
        <f aca="false">MIN(Q409,Inputs!$B$35*Q406-Q408)</f>
        <v>0</v>
      </c>
      <c r="R410" s="47" t="n">
        <f aca="false">MIN(R409,Inputs!$B$35*R406-R408)</f>
        <v>0</v>
      </c>
      <c r="S410" s="47" t="n">
        <f aca="false">MIN(S409,Inputs!$B$35*S406-S408)</f>
        <v>0</v>
      </c>
      <c r="T410" s="47" t="n">
        <f aca="false">MIN(T409,Inputs!$B$35*T406-T408)</f>
        <v>0</v>
      </c>
      <c r="U410" s="47" t="n">
        <f aca="false">MIN(U409,Inputs!$B$35*U406-U408)</f>
        <v>0</v>
      </c>
      <c r="V410" s="47" t="n">
        <f aca="false">MIN(V409,Inputs!$B$35*V406-V408)</f>
        <v>0</v>
      </c>
      <c r="W410" s="47" t="n">
        <f aca="false">MIN(W409,Inputs!$B$35*W406-W408)</f>
        <v>0</v>
      </c>
      <c r="X410" s="47" t="n">
        <f aca="false">MIN(X409,Inputs!$B$35*X406-X408)</f>
        <v>0</v>
      </c>
      <c r="Y410" s="47" t="n">
        <f aca="false">MIN(Y409,Inputs!$B$35*Y406-Y408)</f>
        <v>0</v>
      </c>
      <c r="Z410" s="47" t="n">
        <f aca="false">MIN(Z409,Inputs!$B$35*Z406-Z408)</f>
        <v>0</v>
      </c>
      <c r="AA410" s="47" t="n">
        <f aca="false">MIN(AA409,Inputs!$B$35*AA406-AA408)</f>
        <v>0</v>
      </c>
      <c r="AB410" s="47" t="n">
        <f aca="false">MIN(AB409,Inputs!$B$35*AB406-AB408)</f>
        <v>0</v>
      </c>
      <c r="AC410" s="47" t="n">
        <f aca="false">MIN(AC409,Inputs!$B$35*AC406-AC408)</f>
        <v>0</v>
      </c>
      <c r="AD410" s="47" t="n">
        <f aca="false">MIN(AD409,Inputs!$B$35*AD406-AD408)</f>
        <v>0</v>
      </c>
      <c r="AE410" s="47" t="n">
        <f aca="false">MIN(AE409,Inputs!$B$35*AE406-AE408)</f>
        <v>0</v>
      </c>
      <c r="AF410" s="47" t="n">
        <f aca="false">MIN(AF409,Inputs!$B$35*AF406-AF408)</f>
        <v>0</v>
      </c>
      <c r="AG410" s="47" t="n">
        <f aca="false">MIN(AG409,Inputs!$B$35*AG406-AG408)</f>
        <v>0</v>
      </c>
      <c r="AH410" s="47" t="n">
        <f aca="false">MIN(AH409,Inputs!$B$35*AH406-AH408)</f>
        <v>0</v>
      </c>
      <c r="AI410" s="47" t="n">
        <f aca="false">MIN(AI409,Inputs!$B$35*AI406-AI408)</f>
        <v>0</v>
      </c>
      <c r="AJ410" s="47" t="n">
        <f aca="false">MIN(AJ409,Inputs!$B$35*AJ406-AJ408)</f>
        <v>0</v>
      </c>
      <c r="AK410" s="47" t="n">
        <f aca="false">MIN(AK409,Inputs!$B$35*AK406-AK408)</f>
        <v>0</v>
      </c>
    </row>
    <row r="411" customFormat="false" ht="15" hidden="false" customHeight="false" outlineLevel="0" collapsed="false">
      <c r="A411" s="10" t="s">
        <v>583</v>
      </c>
      <c r="H411" s="47" t="n">
        <f aca="false">(H406-H408-H410)*Inputs!$B$33</f>
        <v>10.6169136738837</v>
      </c>
      <c r="I411" s="47" t="n">
        <f aca="false">(I406-I408-I410)*Inputs!$B$33</f>
        <v>10.6169136738837</v>
      </c>
      <c r="J411" s="47" t="n">
        <f aca="false">(J406-J408-J410)*Inputs!$B$33</f>
        <v>10.6169136738837</v>
      </c>
      <c r="K411" s="47" t="n">
        <f aca="false">(K406-K408-K410)*Inputs!$B$33</f>
        <v>10.6169136738837</v>
      </c>
      <c r="L411" s="47" t="n">
        <f aca="false">(L406-L408-L410)*Inputs!$B$33</f>
        <v>10.6169136738837</v>
      </c>
      <c r="M411" s="47" t="n">
        <f aca="false">(M406-M408-M410)*Inputs!$B$33</f>
        <v>10.6169136738837</v>
      </c>
      <c r="N411" s="47" t="n">
        <f aca="false">(N406-N408-N410)*Inputs!$B$33</f>
        <v>10.6169136738837</v>
      </c>
      <c r="O411" s="47" t="n">
        <f aca="false">(O406-O408-O410)*Inputs!$B$33</f>
        <v>10.6169136738837</v>
      </c>
      <c r="P411" s="47" t="n">
        <f aca="false">(P406-P408-P410)*Inputs!$B$33</f>
        <v>10.6169136738837</v>
      </c>
      <c r="Q411" s="47" t="n">
        <f aca="false">(Q406-Q408-Q410)*Inputs!$B$33</f>
        <v>10.6169136738837</v>
      </c>
      <c r="R411" s="47" t="n">
        <f aca="false">(R406-R408-R410)*Inputs!$B$33</f>
        <v>10.6169136738837</v>
      </c>
      <c r="S411" s="47" t="n">
        <f aca="false">(S406-S408-S410)*Inputs!$B$33</f>
        <v>10.6169136738837</v>
      </c>
      <c r="T411" s="47" t="n">
        <f aca="false">(T406-T408-T410)*Inputs!$B$33</f>
        <v>10.6169136738837</v>
      </c>
      <c r="U411" s="47" t="n">
        <f aca="false">(U406-U408-U410)*Inputs!$B$33</f>
        <v>10.6169136738837</v>
      </c>
      <c r="V411" s="47" t="n">
        <f aca="false">(V406-V408-V410)*Inputs!$B$33</f>
        <v>10.6169136738837</v>
      </c>
      <c r="W411" s="47" t="n">
        <f aca="false">(W406-W408-W410)*Inputs!$B$33</f>
        <v>10.6169136738837</v>
      </c>
      <c r="X411" s="47" t="n">
        <f aca="false">(X406-X408-X410)*Inputs!$B$33</f>
        <v>10.6169136738837</v>
      </c>
      <c r="Y411" s="47" t="n">
        <f aca="false">(Y406-Y408-Y410)*Inputs!$B$33</f>
        <v>10.6169136738837</v>
      </c>
      <c r="Z411" s="47" t="n">
        <f aca="false">(Z406-Z408-Z410)*Inputs!$B$33</f>
        <v>10.6169136738837</v>
      </c>
      <c r="AA411" s="47" t="n">
        <f aca="false">(AA406-AA408-AA410)*Inputs!$B$33</f>
        <v>10.6169136738837</v>
      </c>
      <c r="AB411" s="47" t="n">
        <f aca="false">(AB406-AB408-AB410)*Inputs!$B$33</f>
        <v>10.6169136738837</v>
      </c>
      <c r="AC411" s="47" t="n">
        <f aca="false">(AC406-AC408-AC410)*Inputs!$B$33</f>
        <v>10.6169136738837</v>
      </c>
      <c r="AD411" s="47" t="n">
        <f aca="false">(AD406-AD408-AD410)*Inputs!$B$33</f>
        <v>10.6169136738837</v>
      </c>
      <c r="AE411" s="47" t="n">
        <f aca="false">(AE406-AE408-AE410)*Inputs!$B$33</f>
        <v>10.6169136738837</v>
      </c>
      <c r="AF411" s="47" t="n">
        <f aca="false">(AF406-AF408-AF410)*Inputs!$B$33</f>
        <v>10.6169136738837</v>
      </c>
      <c r="AG411" s="47" t="n">
        <f aca="false">(AG406-AG408-AG410)*Inputs!$B$33</f>
        <v>10.6169136738837</v>
      </c>
      <c r="AH411" s="47" t="n">
        <f aca="false">(AH406-AH408-AH410)*Inputs!$B$33</f>
        <v>10.6169136738837</v>
      </c>
      <c r="AI411" s="47" t="n">
        <f aca="false">(AI406-AI408-AI410)*Inputs!$B$33</f>
        <v>10.6169136738837</v>
      </c>
      <c r="AJ411" s="47" t="n">
        <f aca="false">(AJ406-AJ408-AJ410)*Inputs!$B$33</f>
        <v>10.6169136738837</v>
      </c>
      <c r="AK411" s="47" t="n">
        <f aca="false">(AK406-AK408-AK410)*Inputs!$B$33</f>
        <v>10.6169136738837</v>
      </c>
    </row>
    <row r="412" customFormat="false" ht="15" hidden="false" customHeight="false" outlineLevel="0" collapsed="false">
      <c r="A412" s="10" t="s">
        <v>584</v>
      </c>
      <c r="G412" s="47" t="n">
        <f aca="false">$F$362</f>
        <v>0</v>
      </c>
      <c r="H412" s="47" t="n">
        <f aca="false">G412</f>
        <v>0</v>
      </c>
      <c r="I412" s="47" t="n">
        <f aca="false">H412-H413</f>
        <v>0</v>
      </c>
      <c r="J412" s="47" t="n">
        <f aca="false">I412-I413</f>
        <v>0</v>
      </c>
      <c r="K412" s="47" t="n">
        <f aca="false">J412-J413</f>
        <v>0</v>
      </c>
      <c r="L412" s="47" t="n">
        <f aca="false">K412-K413</f>
        <v>0</v>
      </c>
      <c r="M412" s="47" t="n">
        <f aca="false">L412-L413</f>
        <v>0</v>
      </c>
      <c r="N412" s="47" t="n">
        <f aca="false">M412-M413</f>
        <v>0</v>
      </c>
      <c r="O412" s="47" t="n">
        <f aca="false">N412-N413</f>
        <v>0</v>
      </c>
      <c r="P412" s="47" t="n">
        <f aca="false">O412-O413</f>
        <v>0</v>
      </c>
      <c r="Q412" s="47" t="n">
        <f aca="false">P412-P413</f>
        <v>0</v>
      </c>
      <c r="R412" s="47" t="n">
        <f aca="false">Q412-Q413</f>
        <v>0</v>
      </c>
      <c r="S412" s="47" t="n">
        <f aca="false">R412-R413</f>
        <v>0</v>
      </c>
      <c r="T412" s="47" t="n">
        <f aca="false">S412-S413</f>
        <v>0</v>
      </c>
      <c r="U412" s="47" t="n">
        <f aca="false">T412-T413</f>
        <v>0</v>
      </c>
      <c r="V412" s="47" t="n">
        <f aca="false">U412-U413</f>
        <v>0</v>
      </c>
      <c r="W412" s="47" t="n">
        <f aca="false">V412-V413</f>
        <v>0</v>
      </c>
      <c r="X412" s="47" t="n">
        <f aca="false">W412-W413</f>
        <v>0</v>
      </c>
      <c r="Y412" s="47" t="n">
        <f aca="false">X412-X413</f>
        <v>0</v>
      </c>
      <c r="Z412" s="47" t="n">
        <f aca="false">Y412-Y413</f>
        <v>0</v>
      </c>
      <c r="AA412" s="47" t="n">
        <f aca="false">Z412-Z413</f>
        <v>0</v>
      </c>
      <c r="AB412" s="47" t="n">
        <f aca="false">AA412-AA413</f>
        <v>0</v>
      </c>
      <c r="AC412" s="47" t="n">
        <f aca="false">AB412-AB413</f>
        <v>0</v>
      </c>
      <c r="AD412" s="47" t="n">
        <f aca="false">AC412-AC413</f>
        <v>0</v>
      </c>
      <c r="AE412" s="47" t="n">
        <f aca="false">AD412-AD413</f>
        <v>0</v>
      </c>
      <c r="AF412" s="47" t="n">
        <f aca="false">AE412-AE413</f>
        <v>0</v>
      </c>
      <c r="AG412" s="47" t="n">
        <f aca="false">AF412-AF413</f>
        <v>0</v>
      </c>
      <c r="AH412" s="47" t="n">
        <f aca="false">AG412-AG413</f>
        <v>0</v>
      </c>
      <c r="AI412" s="47" t="n">
        <f aca="false">AH412-AH413</f>
        <v>0</v>
      </c>
      <c r="AJ412" s="47" t="n">
        <f aca="false">AI412-AI413</f>
        <v>0</v>
      </c>
      <c r="AK412" s="47" t="n">
        <f aca="false">AJ412-AJ413</f>
        <v>0</v>
      </c>
    </row>
    <row r="413" customFormat="false" ht="15" hidden="false" customHeight="false" outlineLevel="0" collapsed="false">
      <c r="A413" s="10" t="s">
        <v>585</v>
      </c>
      <c r="H413" s="47" t="n">
        <f aca="false">IF(1&lt;=Inputs!$B$43,MIN(H412,H411,MAX(0,1E+099-H408)*Inputs!$B$33),0)</f>
        <v>0</v>
      </c>
      <c r="I413" s="47" t="n">
        <f aca="false">IF(2&lt;=Inputs!$B$43,MIN(I412,I411,MAX(0,1E+099-I408)*Inputs!$B$33),0)</f>
        <v>0</v>
      </c>
      <c r="J413" s="47" t="n">
        <f aca="false">IF(3&lt;=Inputs!$B$43,MIN(J412,J411,MAX(0,1E+099-J408)*Inputs!$B$33),0)</f>
        <v>0</v>
      </c>
      <c r="K413" s="47" t="n">
        <f aca="false">IF(4&lt;=Inputs!$B$43,MIN(K412,K411,MAX(0,1E+099-K408)*Inputs!$B$33),0)</f>
        <v>0</v>
      </c>
      <c r="L413" s="47" t="n">
        <f aca="false">IF(5&lt;=Inputs!$B$43,MIN(L412,L411,MAX(0,1E+099-L408)*Inputs!$B$33),0)</f>
        <v>0</v>
      </c>
      <c r="M413" s="47" t="n">
        <f aca="false">IF(6&lt;=Inputs!$B$43,MIN(M412,M411,MAX(0,1E+099-M408)*Inputs!$B$33),0)</f>
        <v>0</v>
      </c>
      <c r="N413" s="47" t="n">
        <f aca="false">IF(7&lt;=Inputs!$B$43,MIN(N412,N411,MAX(0,1E+099-N408)*Inputs!$B$33),0)</f>
        <v>0</v>
      </c>
      <c r="O413" s="47" t="n">
        <f aca="false">IF(8&lt;=Inputs!$B$43,MIN(O412,O411,MAX(0,1E+099-O408)*Inputs!$B$33),0)</f>
        <v>0</v>
      </c>
      <c r="P413" s="47" t="n">
        <f aca="false">IF(9&lt;=Inputs!$B$43,MIN(P412,P411,MAX(0,1E+099-P408)*Inputs!$B$33),0)</f>
        <v>0</v>
      </c>
      <c r="Q413" s="47" t="n">
        <f aca="false">IF(10&lt;=Inputs!$B$43,MIN(Q412,Q411,MAX(0,1E+099-Q408)*Inputs!$B$33),0)</f>
        <v>0</v>
      </c>
      <c r="R413" s="47" t="n">
        <f aca="false">IF(11&lt;=Inputs!$B$43,MIN(R412,R411,MAX(0,1E+099-R408)*Inputs!$B$33),0)</f>
        <v>0</v>
      </c>
      <c r="S413" s="47" t="n">
        <f aca="false">IF(12&lt;=Inputs!$B$43,MIN(S412,S411,MAX(0,1E+099-S408)*Inputs!$B$33),0)</f>
        <v>0</v>
      </c>
      <c r="T413" s="47" t="n">
        <f aca="false">IF(13&lt;=Inputs!$B$43,MIN(T412,T411,MAX(0,1E+099-T408)*Inputs!$B$33),0)</f>
        <v>0</v>
      </c>
      <c r="U413" s="47" t="n">
        <f aca="false">IF(14&lt;=Inputs!$B$43,MIN(U412,U411,MAX(0,1E+099-U408)*Inputs!$B$33),0)</f>
        <v>0</v>
      </c>
      <c r="V413" s="47" t="n">
        <f aca="false">IF(15&lt;=Inputs!$B$43,MIN(V412,V411,MAX(0,1E+099-V408)*Inputs!$B$33),0)</f>
        <v>0</v>
      </c>
      <c r="W413" s="47" t="n">
        <f aca="false">IF(16&lt;=Inputs!$B$43,MIN(W412,W411,MAX(0,1E+099-W408)*Inputs!$B$33),0)</f>
        <v>0</v>
      </c>
      <c r="X413" s="47" t="n">
        <f aca="false">IF(17&lt;=Inputs!$B$43,MIN(X412,X411,MAX(0,1E+099-X408)*Inputs!$B$33),0)</f>
        <v>0</v>
      </c>
      <c r="Y413" s="47" t="n">
        <f aca="false">IF(18&lt;=Inputs!$B$43,MIN(Y412,Y411,MAX(0,1E+099-Y408)*Inputs!$B$33),0)</f>
        <v>0</v>
      </c>
      <c r="Z413" s="47" t="n">
        <f aca="false">IF(19&lt;=Inputs!$B$43,MIN(Z412,Z411,MAX(0,1E+099-Z408)*Inputs!$B$33),0)</f>
        <v>0</v>
      </c>
      <c r="AA413" s="47" t="n">
        <f aca="false">IF(20&lt;=Inputs!$B$43,MIN(AA412,AA411,MAX(0,1E+099-AA408)*Inputs!$B$33),0)</f>
        <v>0</v>
      </c>
      <c r="AB413" s="47" t="n">
        <f aca="false">IF(21&lt;=Inputs!$B$43,MIN(AB412,AB411,MAX(0,1E+099-AB408)*Inputs!$B$33),0)</f>
        <v>0</v>
      </c>
      <c r="AC413" s="47" t="n">
        <f aca="false">IF(22&lt;=Inputs!$B$43,MIN(AC412,AC411,MAX(0,1E+099-AC408)*Inputs!$B$33),0)</f>
        <v>0</v>
      </c>
      <c r="AD413" s="47" t="n">
        <f aca="false">IF(23&lt;=Inputs!$B$43,MIN(AD412,AD411,MAX(0,1E+099-AD408)*Inputs!$B$33),0)</f>
        <v>0</v>
      </c>
      <c r="AE413" s="47" t="n">
        <f aca="false">IF(24&lt;=Inputs!$B$43,MIN(AE412,AE411,MAX(0,1E+099-AE408)*Inputs!$B$33),0)</f>
        <v>0</v>
      </c>
      <c r="AF413" s="47" t="n">
        <f aca="false">IF(25&lt;=Inputs!$B$43,MIN(AF412,AF411,MAX(0,1E+099-AF408)*Inputs!$B$33),0)</f>
        <v>0</v>
      </c>
      <c r="AG413" s="47" t="n">
        <f aca="false">IF(26&lt;=Inputs!$B$43,MIN(AG412,AG411,MAX(0,1E+099-AG408)*Inputs!$B$33),0)</f>
        <v>0</v>
      </c>
      <c r="AH413" s="47" t="n">
        <f aca="false">IF(27&lt;=Inputs!$B$43,MIN(AH412,AH411,MAX(0,1E+099-AH408)*Inputs!$B$33),0)</f>
        <v>0</v>
      </c>
      <c r="AI413" s="47" t="n">
        <f aca="false">IF(28&lt;=Inputs!$B$43,MIN(AI412,AI411,MAX(0,1E+099-AI408)*Inputs!$B$33),0)</f>
        <v>0</v>
      </c>
      <c r="AJ413" s="47" t="n">
        <f aca="false">IF(29&lt;=Inputs!$B$43,MIN(AJ412,AJ411,MAX(0,1E+099-AJ408)*Inputs!$B$33),0)</f>
        <v>0</v>
      </c>
      <c r="AK413" s="47" t="n">
        <f aca="false">IF(30&lt;=Inputs!$B$43,MIN(AK412,AK411,MAX(0,1E+099-AK408)*Inputs!$B$33),0)</f>
        <v>0</v>
      </c>
    </row>
    <row r="414" customFormat="false" ht="15" hidden="false" customHeight="false" outlineLevel="0" collapsed="false">
      <c r="A414" s="10" t="s">
        <v>586</v>
      </c>
      <c r="H414" s="47" t="n">
        <f aca="false">($B$399*Inputs!$B$34+($B$399-$B$399*Inputs!$B$34)*Inputs!$B$33)-(H405+H411-H413)</f>
        <v>0</v>
      </c>
      <c r="I414" s="47" t="n">
        <f aca="false">($B$399*Inputs!$B$34+($B$399-$B$399*Inputs!$B$34)*Inputs!$B$33)-(I405+I411-I413)</f>
        <v>0</v>
      </c>
      <c r="J414" s="47" t="n">
        <f aca="false">($B$399*Inputs!$B$34+($B$399-$B$399*Inputs!$B$34)*Inputs!$B$33)-(J405+J411-J413)</f>
        <v>0</v>
      </c>
      <c r="K414" s="47" t="n">
        <f aca="false">($B$399*Inputs!$B$34+($B$399-$B$399*Inputs!$B$34)*Inputs!$B$33)-(K405+K411-K413)</f>
        <v>0</v>
      </c>
      <c r="L414" s="47" t="n">
        <f aca="false">($B$399*Inputs!$B$34+($B$399-$B$399*Inputs!$B$34)*Inputs!$B$33)-(L405+L411-L413)</f>
        <v>0</v>
      </c>
      <c r="M414" s="47" t="n">
        <f aca="false">($B$399*Inputs!$B$34+($B$399-$B$399*Inputs!$B$34)*Inputs!$B$33)-(M405+M411-M413)</f>
        <v>0</v>
      </c>
      <c r="N414" s="47" t="n">
        <f aca="false">($B$399*Inputs!$B$34+($B$399-$B$399*Inputs!$B$34)*Inputs!$B$33)-(N405+N411-N413)</f>
        <v>0</v>
      </c>
      <c r="O414" s="47" t="n">
        <f aca="false">($B$399*Inputs!$B$34+($B$399-$B$399*Inputs!$B$34)*Inputs!$B$33)-(O405+O411-O413)</f>
        <v>0</v>
      </c>
      <c r="P414" s="47" t="n">
        <f aca="false">($B$399*Inputs!$B$34+($B$399-$B$399*Inputs!$B$34)*Inputs!$B$33)-(P405+P411-P413)</f>
        <v>0</v>
      </c>
      <c r="Q414" s="47" t="n">
        <f aca="false">($B$399*Inputs!$B$34+($B$399-$B$399*Inputs!$B$34)*Inputs!$B$33)-(Q405+Q411-Q413)</f>
        <v>0</v>
      </c>
      <c r="R414" s="47" t="n">
        <f aca="false">($B$399*Inputs!$B$34+($B$399-$B$399*Inputs!$B$34)*Inputs!$B$33)-(R405+R411-R413)</f>
        <v>0</v>
      </c>
      <c r="S414" s="47" t="n">
        <f aca="false">($B$399*Inputs!$B$34+($B$399-$B$399*Inputs!$B$34)*Inputs!$B$33)-(S405+S411-S413)</f>
        <v>0</v>
      </c>
      <c r="T414" s="47" t="n">
        <f aca="false">($B$399*Inputs!$B$34+($B$399-$B$399*Inputs!$B$34)*Inputs!$B$33)-(T405+T411-T413)</f>
        <v>0</v>
      </c>
      <c r="U414" s="47" t="n">
        <f aca="false">($B$399*Inputs!$B$34+($B$399-$B$399*Inputs!$B$34)*Inputs!$B$33)-(U405+U411-U413)</f>
        <v>0</v>
      </c>
      <c r="V414" s="47" t="n">
        <f aca="false">($B$399*Inputs!$B$34+($B$399-$B$399*Inputs!$B$34)*Inputs!$B$33)-(V405+V411-V413)</f>
        <v>0</v>
      </c>
      <c r="W414" s="47" t="n">
        <f aca="false">($B$399*Inputs!$B$34+($B$399-$B$399*Inputs!$B$34)*Inputs!$B$33)-(W405+W411-W413)</f>
        <v>0</v>
      </c>
      <c r="X414" s="47" t="n">
        <f aca="false">($B$399*Inputs!$B$34+($B$399-$B$399*Inputs!$B$34)*Inputs!$B$33)-(X405+X411-X413)</f>
        <v>0</v>
      </c>
      <c r="Y414" s="47" t="n">
        <f aca="false">($B$399*Inputs!$B$34+($B$399-$B$399*Inputs!$B$34)*Inputs!$B$33)-(Y405+Y411-Y413)</f>
        <v>0</v>
      </c>
      <c r="Z414" s="47" t="n">
        <f aca="false">($B$399*Inputs!$B$34+($B$399-$B$399*Inputs!$B$34)*Inputs!$B$33)-(Z405+Z411-Z413)</f>
        <v>0</v>
      </c>
      <c r="AA414" s="47" t="n">
        <f aca="false">($B$399*Inputs!$B$34+($B$399-$B$399*Inputs!$B$34)*Inputs!$B$33)-(AA405+AA411-AA413)</f>
        <v>0</v>
      </c>
      <c r="AB414" s="47" t="n">
        <f aca="false">($B$399*Inputs!$B$34+($B$399-$B$399*Inputs!$B$34)*Inputs!$B$33)-(AB405+AB411-AB413)</f>
        <v>0</v>
      </c>
      <c r="AC414" s="47" t="n">
        <f aca="false">($B$399*Inputs!$B$34+($B$399-$B$399*Inputs!$B$34)*Inputs!$B$33)-(AC405+AC411-AC413)</f>
        <v>0</v>
      </c>
      <c r="AD414" s="47" t="n">
        <f aca="false">($B$399*Inputs!$B$34+($B$399-$B$399*Inputs!$B$34)*Inputs!$B$33)-(AD405+AD411-AD413)</f>
        <v>0</v>
      </c>
      <c r="AE414" s="47" t="n">
        <f aca="false">($B$399*Inputs!$B$34+($B$399-$B$399*Inputs!$B$34)*Inputs!$B$33)-(AE405+AE411-AE413)</f>
        <v>0</v>
      </c>
      <c r="AF414" s="47" t="n">
        <f aca="false">($B$399*Inputs!$B$34+($B$399-$B$399*Inputs!$B$34)*Inputs!$B$33)-(AF405+AF411-AF413)</f>
        <v>0</v>
      </c>
      <c r="AG414" s="47" t="n">
        <f aca="false">($B$399*Inputs!$B$34+($B$399-$B$399*Inputs!$B$34)*Inputs!$B$33)-(AG405+AG411-AG413)</f>
        <v>0</v>
      </c>
      <c r="AH414" s="47" t="n">
        <f aca="false">($B$399*Inputs!$B$34+($B$399-$B$399*Inputs!$B$34)*Inputs!$B$33)-(AH405+AH411-AH413)</f>
        <v>0</v>
      </c>
      <c r="AI414" s="47" t="n">
        <f aca="false">($B$399*Inputs!$B$34+($B$399-$B$399*Inputs!$B$34)*Inputs!$B$33)-(AI405+AI411-AI413)</f>
        <v>0</v>
      </c>
      <c r="AJ414" s="47" t="n">
        <f aca="false">($B$399*Inputs!$B$34+($B$399-$B$399*Inputs!$B$34)*Inputs!$B$33)-(AJ405+AJ411-AJ413)</f>
        <v>0</v>
      </c>
      <c r="AK414" s="47" t="n">
        <f aca="false">($B$399*Inputs!$B$34+($B$399-$B$399*Inputs!$B$34)*Inputs!$B$33)-(AK405+AK411-AK413)</f>
        <v>0</v>
      </c>
    </row>
    <row r="415" customFormat="false" ht="15" hidden="false" customHeight="false" outlineLevel="0" collapsed="false">
      <c r="A415" s="10" t="s">
        <v>587</v>
      </c>
      <c r="B415" s="47" t="n">
        <f aca="false">SUMPRODUCT($H$414:$AK$414,$H$400:$AK$400)</f>
        <v>0</v>
      </c>
    </row>
    <row r="416" customFormat="false" ht="15" hidden="false" customHeight="false" outlineLevel="0" collapsed="false">
      <c r="A416" s="10" t="s">
        <v>588</v>
      </c>
      <c r="B416" s="47" t="n">
        <f aca="false">Inputs!$B$42*$B$415*$F$527</f>
        <v>0</v>
      </c>
    </row>
    <row r="417" customFormat="false" ht="15" hidden="false" customHeight="false" outlineLevel="0" collapsed="false">
      <c r="A417" s="10" t="s">
        <v>589</v>
      </c>
      <c r="B417" s="47" t="n">
        <f aca="false">$B$383</f>
        <v>33.3730954773869</v>
      </c>
    </row>
    <row r="418" customFormat="false" ht="15" hidden="false" customHeight="false" outlineLevel="0" collapsed="false">
      <c r="A418" s="10" t="s">
        <v>590</v>
      </c>
      <c r="B418" s="47" t="n">
        <f aca="false">Inputs!$B$18*IF(ISNUMBER($B$110),$B$110,Inputs!$B$12)</f>
        <v>6.18797520749616</v>
      </c>
    </row>
    <row r="419" customFormat="false" ht="15" hidden="false" customHeight="false" outlineLevel="0" collapsed="false">
      <c r="A419" s="10" t="s">
        <v>591</v>
      </c>
      <c r="B419" s="47" t="n">
        <f aca="false">SUMPRODUCT($C$378:$F$378,$C$527:$F$527)</f>
        <v>0</v>
      </c>
    </row>
    <row r="420" customFormat="false" ht="15" hidden="false" customHeight="false" outlineLevel="0" collapsed="false">
      <c r="A420" s="13" t="s">
        <v>592</v>
      </c>
      <c r="B420" s="18" t="n">
        <f aca="false">$B$398+$B$416+$B$417+$B$418-$B$419</f>
        <v>1486.08216749789</v>
      </c>
    </row>
    <row r="421" customFormat="false" ht="15" hidden="false" customHeight="false" outlineLevel="0" collapsed="false">
      <c r="A421" s="10" t="s">
        <v>593</v>
      </c>
      <c r="B421" s="25" t="n">
        <f aca="false">Historicals!$B$89+Inputs!$B$17</f>
        <v>3.967329173</v>
      </c>
    </row>
    <row r="422" customFormat="false" ht="15" hidden="false" customHeight="false" outlineLevel="0" collapsed="false">
      <c r="A422" s="10" t="s">
        <v>594</v>
      </c>
      <c r="B422" s="32" t="n">
        <f aca="false">IFERROR(($B$420-$B$377*(1-Inputs!$B$70))/$B$421,0)</f>
        <v>374.580001480983</v>
      </c>
    </row>
    <row r="423" customFormat="false" ht="15" hidden="false" customHeight="false" outlineLevel="0" collapsed="false">
      <c r="A423" s="10" t="s">
        <v>595</v>
      </c>
      <c r="B423" s="25" t="n">
        <f aca="false">IF($B$422&gt;0,$B$377/($B$422*(1-Inputs!$B$71)),0)</f>
        <v>0</v>
      </c>
    </row>
    <row r="424" customFormat="false" ht="15" hidden="false" customHeight="false" outlineLevel="0" collapsed="false">
      <c r="A424" s="10" t="s">
        <v>596</v>
      </c>
      <c r="B424" s="32" t="n">
        <f aca="false">IFERROR($B$420/($B$421+$B$423),0)</f>
        <v>374.580001480983</v>
      </c>
    </row>
    <row r="425" customFormat="false" ht="15" hidden="false" customHeight="false" outlineLevel="0" collapsed="false">
      <c r="A425" s="10" t="s">
        <v>597</v>
      </c>
      <c r="B425" s="47" t="n">
        <f aca="false">SUMPRODUCT($C$377:$F$377,$C$527:$F$527)</f>
        <v>0</v>
      </c>
    </row>
    <row r="426" customFormat="false" ht="15" hidden="false" customHeight="false" outlineLevel="0" collapsed="false">
      <c r="A426" s="10" t="s">
        <v>598</v>
      </c>
      <c r="B426" s="25" t="n">
        <f aca="false">IF($B$424&gt;0,$B$423+$B$425/($B$424*(1-Inputs!$B$71)),0)</f>
        <v>0</v>
      </c>
    </row>
    <row r="427" customFormat="false" ht="15" hidden="false" customHeight="false" outlineLevel="0" collapsed="false">
      <c r="A427" s="13" t="s">
        <v>599</v>
      </c>
      <c r="B427" s="15" t="n">
        <f aca="false">IFERROR(($B$420+$B$425)/($B$421+$B$426),0)</f>
        <v>374.580001480983</v>
      </c>
    </row>
    <row r="428" customFormat="false" ht="15" hidden="false" customHeight="false" outlineLevel="0" collapsed="false">
      <c r="A428" s="10" t="s">
        <v>600</v>
      </c>
      <c r="B428" s="49" t="str">
        <f aca="false">IF($F$385&gt;Inputs!$B$73,"Not meaningful: funding need above limit",IF(OR($B$389&lt;=0,$B$394&lt;=0),"Not meaningful: 2030 profit or cash flow negative",IF(OR($B$393&lt;=0,$B$397&lt;=0),"Not meaningful: a method gives zero or negative value",IF($B$420&lt;=0,"Not meaningful: value at or below zero","OK"))))</f>
        <v>OK</v>
      </c>
    </row>
    <row r="429" customFormat="false" ht="15" hidden="false" customHeight="false" outlineLevel="0" collapsed="false">
      <c r="A429" s="13" t="s">
        <v>601</v>
      </c>
      <c r="B429" s="15" t="n">
        <f aca="false">IF($B$428="OK",$B$427,"unresolved")</f>
        <v>374.580001480983</v>
      </c>
    </row>
    <row r="430" customFormat="false" ht="15" hidden="false" customHeight="false" outlineLevel="0" collapsed="false">
      <c r="A430" s="10" t="s">
        <v>602</v>
      </c>
      <c r="B430" s="47" t="n">
        <f aca="false">IF(ISNUMBER($B$429),$B$429*$B$421,"unresolved")</f>
        <v>1486.08216749789</v>
      </c>
    </row>
    <row r="431" customFormat="false" ht="15" hidden="false" customHeight="false" outlineLevel="0" collapsed="false">
      <c r="A431" s="10" t="s">
        <v>603</v>
      </c>
      <c r="B431" s="47" t="n">
        <f aca="false">IFERROR($B$420-$B$377*(1-Inputs!$B$70)-$B$430,"n/a")</f>
        <v>0</v>
      </c>
    </row>
    <row r="433" customFormat="false" ht="15" hidden="false" customHeight="false" outlineLevel="0" collapsed="false">
      <c r="A433" s="8" t="s">
        <v>627</v>
      </c>
      <c r="B433" s="9" t="s">
        <v>495</v>
      </c>
      <c r="C433" s="9" t="s">
        <v>496</v>
      </c>
      <c r="D433" s="9" t="s">
        <v>497</v>
      </c>
      <c r="E433" s="9" t="s">
        <v>498</v>
      </c>
      <c r="F433" s="9" t="s">
        <v>499</v>
      </c>
    </row>
    <row r="434" customFormat="false" ht="15" hidden="false" customHeight="false" outlineLevel="0" collapsed="false">
      <c r="A434" s="10" t="s">
        <v>628</v>
      </c>
      <c r="B434" s="19" t="n">
        <f aca="false">IF(0-Inputs!$B$25&lt;0,0,INDEX(Inputs!$B$82:$F$82,1,0-Inputs!$B$25+1))*Inputs!$B$26</f>
        <v>0</v>
      </c>
      <c r="C434" s="19" t="n">
        <f aca="false">IF(1-Inputs!$B$25&lt;0,0,INDEX(Inputs!$B$82:$F$82,1,1-Inputs!$B$25+1))*Inputs!$B$26</f>
        <v>0.25</v>
      </c>
      <c r="D434" s="19" t="n">
        <f aca="false">IF(2-Inputs!$B$25&lt;0,0,INDEX(Inputs!$B$82:$F$82,1,2-Inputs!$B$25+1))*Inputs!$B$26</f>
        <v>0.5</v>
      </c>
      <c r="E434" s="19" t="n">
        <f aca="false">IF(3-Inputs!$B$25&lt;0,0,INDEX(Inputs!$B$82:$F$82,1,3-Inputs!$B$25+1))*Inputs!$B$26</f>
        <v>0.75</v>
      </c>
      <c r="F434" s="19" t="n">
        <f aca="false">IF(4-Inputs!$B$25&lt;0,0,INDEX(Inputs!$B$82:$F$82,1,4-Inputs!$B$25+1))*Inputs!$B$26</f>
        <v>1</v>
      </c>
    </row>
    <row r="435" customFormat="false" ht="15" hidden="false" customHeight="false" outlineLevel="0" collapsed="false">
      <c r="A435" s="10" t="s">
        <v>629</v>
      </c>
      <c r="B435" s="19" t="n">
        <f aca="false">IF(0-Inputs!$B$25&lt;0,0,INDEX(Inputs!$B$82:$F$82,1,0-Inputs!$B$25+1))</f>
        <v>0</v>
      </c>
      <c r="C435" s="19" t="n">
        <f aca="false">IF(1-Inputs!$B$25&lt;0,0,INDEX(Inputs!$B$82:$F$82,1,1-Inputs!$B$25+1))</f>
        <v>0.25</v>
      </c>
      <c r="D435" s="19" t="n">
        <f aca="false">IF(2-Inputs!$B$25&lt;0,0,INDEX(Inputs!$B$82:$F$82,1,2-Inputs!$B$25+1))</f>
        <v>0.5</v>
      </c>
      <c r="E435" s="19" t="n">
        <f aca="false">IF(3-Inputs!$B$25&lt;0,0,INDEX(Inputs!$B$82:$F$82,1,3-Inputs!$B$25+1))</f>
        <v>0.75</v>
      </c>
      <c r="F435" s="19" t="n">
        <f aca="false">IF(4-Inputs!$B$25&lt;0,0,INDEX(Inputs!$B$82:$F$82,1,4-Inputs!$B$25+1))</f>
        <v>1</v>
      </c>
    </row>
    <row r="436" customFormat="false" ht="15" hidden="false" customHeight="false" outlineLevel="0" collapsed="false">
      <c r="A436" s="10" t="s">
        <v>630</v>
      </c>
      <c r="B436" s="47" t="n">
        <f aca="false">Inputs!$D$155*B434</f>
        <v>0</v>
      </c>
      <c r="C436" s="47" t="n">
        <f aca="false">Inputs!$D$155*C434</f>
        <v>2.5</v>
      </c>
      <c r="D436" s="47" t="n">
        <f aca="false">Inputs!$D$155*D434</f>
        <v>5</v>
      </c>
      <c r="E436" s="47" t="n">
        <f aca="false">Inputs!$D$155*E434</f>
        <v>7.5</v>
      </c>
      <c r="F436" s="47" t="n">
        <f aca="false">Inputs!$D$155*F434</f>
        <v>10</v>
      </c>
    </row>
    <row r="437" customFormat="false" ht="15" hidden="false" customHeight="false" outlineLevel="0" collapsed="false">
      <c r="A437" s="10" t="s">
        <v>631</v>
      </c>
      <c r="B437" s="47" t="n">
        <f aca="false">Inputs!$D$156*B434</f>
        <v>0</v>
      </c>
      <c r="C437" s="47" t="n">
        <f aca="false">Inputs!$D$156*C434</f>
        <v>7.5</v>
      </c>
      <c r="D437" s="47" t="n">
        <f aca="false">Inputs!$D$156*D434</f>
        <v>15</v>
      </c>
      <c r="E437" s="47" t="n">
        <f aca="false">Inputs!$D$156*E434</f>
        <v>22.5</v>
      </c>
      <c r="F437" s="47" t="n">
        <f aca="false">Inputs!$D$156*F434</f>
        <v>30</v>
      </c>
    </row>
    <row r="438" customFormat="false" ht="15" hidden="false" customHeight="false" outlineLevel="0" collapsed="false">
      <c r="A438" s="10" t="s">
        <v>632</v>
      </c>
      <c r="B438" s="47" t="n">
        <f aca="false">B437*Inputs!$D$157</f>
        <v>0</v>
      </c>
      <c r="C438" s="47" t="n">
        <f aca="false">C437*Inputs!$D$157</f>
        <v>2.625</v>
      </c>
      <c r="D438" s="47" t="n">
        <f aca="false">D437*Inputs!$D$157</f>
        <v>5.25</v>
      </c>
      <c r="E438" s="47" t="n">
        <f aca="false">E437*Inputs!$D$157</f>
        <v>7.875</v>
      </c>
      <c r="F438" s="47" t="n">
        <f aca="false">F437*Inputs!$D$157</f>
        <v>10.5</v>
      </c>
    </row>
    <row r="439" customFormat="false" ht="15" hidden="false" customHeight="false" outlineLevel="0" collapsed="false">
      <c r="A439" s="10" t="s">
        <v>633</v>
      </c>
      <c r="B439" s="47" t="n">
        <f aca="false">Inputs!$D$158*B435</f>
        <v>0</v>
      </c>
      <c r="C439" s="47" t="n">
        <f aca="false">Inputs!$D$158*C435</f>
        <v>0</v>
      </c>
      <c r="D439" s="47" t="n">
        <f aca="false">Inputs!$D$158*D435</f>
        <v>0</v>
      </c>
      <c r="E439" s="47" t="n">
        <f aca="false">Inputs!$D$158*E435</f>
        <v>0</v>
      </c>
      <c r="F439" s="47" t="n">
        <f aca="false">Inputs!$D$158*F435</f>
        <v>0</v>
      </c>
    </row>
    <row r="440" customFormat="false" ht="15" hidden="false" customHeight="false" outlineLevel="0" collapsed="false">
      <c r="A440" s="10" t="s">
        <v>634</v>
      </c>
      <c r="B440" s="26" t="n">
        <v>0</v>
      </c>
      <c r="C440" s="47" t="n">
        <f aca="false">Inputs!$B$23</f>
        <v>2</v>
      </c>
      <c r="D440" s="26" t="n">
        <v>0</v>
      </c>
      <c r="E440" s="26" t="n">
        <v>0</v>
      </c>
      <c r="F440" s="26" t="n">
        <v>0</v>
      </c>
    </row>
    <row r="441" customFormat="false" ht="15" hidden="false" customHeight="false" outlineLevel="0" collapsed="false">
      <c r="A441" s="10" t="s">
        <v>635</v>
      </c>
      <c r="B441" s="47" t="n">
        <f aca="false">B436+B438-B439-B440</f>
        <v>0</v>
      </c>
      <c r="C441" s="47" t="n">
        <f aca="false">C436+C438-C439-C440</f>
        <v>3.125</v>
      </c>
      <c r="D441" s="47" t="n">
        <f aca="false">D436+D438-D439-D440</f>
        <v>10.25</v>
      </c>
      <c r="E441" s="47" t="n">
        <f aca="false">E436+E438-E439-E440</f>
        <v>15.375</v>
      </c>
      <c r="F441" s="47" t="n">
        <f aca="false">F436+F438-F439-F440</f>
        <v>20.5</v>
      </c>
    </row>
    <row r="442" customFormat="false" ht="15" hidden="false" customHeight="false" outlineLevel="0" collapsed="false">
      <c r="A442" s="10" t="s">
        <v>636</v>
      </c>
      <c r="B442" s="26" t="n">
        <v>0</v>
      </c>
      <c r="C442" s="47" t="n">
        <f aca="false">Inputs!$B$24/2</f>
        <v>0</v>
      </c>
      <c r="D442" s="47" t="n">
        <f aca="false">Inputs!$B$24/2</f>
        <v>0</v>
      </c>
      <c r="E442" s="26" t="n">
        <v>0</v>
      </c>
      <c r="F442" s="26" t="n">
        <v>0</v>
      </c>
    </row>
    <row r="443" customFormat="false" ht="15" hidden="false" customHeight="false" outlineLevel="0" collapsed="false">
      <c r="A443" s="10" t="s">
        <v>637</v>
      </c>
      <c r="B443" s="26" t="n">
        <v>0</v>
      </c>
      <c r="C443" s="47" t="n">
        <f aca="false">(C25+C131)*Inputs!$D$159*C434</f>
        <v>3.30751851</v>
      </c>
      <c r="D443" s="47" t="n">
        <f aca="false">(D25+D131)*Inputs!$D$159*D434</f>
        <v>8.7525953769</v>
      </c>
      <c r="E443" s="47" t="n">
        <f aca="false">(E25+E131)*Inputs!$D$159*E434</f>
        <v>13.615060960764</v>
      </c>
      <c r="F443" s="47" t="n">
        <f aca="false">(F25+F131)*Inputs!$D$159*F434</f>
        <v>14.1953833160893</v>
      </c>
    </row>
    <row r="444" customFormat="false" ht="15" hidden="false" customHeight="false" outlineLevel="0" collapsed="false">
      <c r="A444" s="10" t="s">
        <v>638</v>
      </c>
      <c r="B444" s="26" t="n">
        <v>0</v>
      </c>
      <c r="C444" s="26" t="n">
        <v>0</v>
      </c>
      <c r="D444" s="26" t="n">
        <v>0</v>
      </c>
      <c r="E444" s="26" t="n">
        <v>0</v>
      </c>
      <c r="F444" s="26" t="n">
        <v>0</v>
      </c>
    </row>
    <row r="445" customFormat="false" ht="15" hidden="false" customHeight="false" outlineLevel="0" collapsed="false">
      <c r="A445" s="10" t="s">
        <v>639</v>
      </c>
      <c r="B445" s="47" t="n">
        <f aca="false">B442-B443-B444</f>
        <v>0</v>
      </c>
      <c r="C445" s="47" t="n">
        <f aca="false">C442-C443-C444</f>
        <v>-3.30751851</v>
      </c>
      <c r="D445" s="47" t="n">
        <f aca="false">D442-D443-D444</f>
        <v>-8.7525953769</v>
      </c>
      <c r="E445" s="47" t="n">
        <f aca="false">E442-E443-E444</f>
        <v>-13.615060960764</v>
      </c>
      <c r="F445" s="47" t="n">
        <f aca="false">F442-F443-F444</f>
        <v>-14.1953833160893</v>
      </c>
    </row>
    <row r="446" customFormat="false" ht="15" hidden="false" customHeight="false" outlineLevel="0" collapsed="false">
      <c r="A446" s="10" t="s">
        <v>640</v>
      </c>
      <c r="B446" s="26" t="n">
        <v>0</v>
      </c>
      <c r="C446" s="47" t="n">
        <f aca="false">C445*0.5/Inputs!$B$47</f>
        <v>-0.236251322142857</v>
      </c>
      <c r="D446" s="47" t="n">
        <f aca="false">C445*IF(1&lt;=Inputs!$B$47-1,1,IF(1=Inputs!$B$47,0.5,0))/Inputs!$B$47+D445*0.5/Inputs!$B$47</f>
        <v>-1.09768802835</v>
      </c>
      <c r="E446" s="47" t="n">
        <f aca="false">C445*IF(2&lt;=Inputs!$B$47-1,1,IF(2=Inputs!$B$47,0.5,0))/Inputs!$B$47+D445*IF(1&lt;=Inputs!$B$47-1,1,IF(1=Inputs!$B$47,0.5,0))/Inputs!$B$47+E445*0.5/Inputs!$B$47</f>
        <v>-2.69537776675457</v>
      </c>
      <c r="F446" s="47" t="n">
        <f aca="false">C445*IF(3&lt;=Inputs!$B$47-1,1,IF(3=Inputs!$B$47,0.5,0))/Inputs!$B$47+D445*IF(2&lt;=Inputs!$B$47-1,1,IF(2=Inputs!$B$47,0.5,0))/Inputs!$B$47+E445*IF(1&lt;=Inputs!$B$47-1,1,IF(1=Inputs!$B$47,0.5,0))/Inputs!$B$47+F445*0.5/Inputs!$B$47</f>
        <v>-4.68183807224409</v>
      </c>
    </row>
    <row r="447" customFormat="false" ht="15" hidden="false" customHeight="false" outlineLevel="0" collapsed="false">
      <c r="A447" s="13" t="s">
        <v>641</v>
      </c>
      <c r="B447" s="18" t="n">
        <f aca="false">B441-B446</f>
        <v>0</v>
      </c>
      <c r="C447" s="18" t="n">
        <f aca="false">C441-C446</f>
        <v>3.36125132214286</v>
      </c>
      <c r="D447" s="18" t="n">
        <f aca="false">D441-D446</f>
        <v>11.34768802835</v>
      </c>
      <c r="E447" s="18" t="n">
        <f aca="false">E441-E446</f>
        <v>18.0703777667546</v>
      </c>
      <c r="F447" s="18" t="n">
        <f aca="false">F441-F446</f>
        <v>25.1818380722441</v>
      </c>
    </row>
    <row r="448" customFormat="false" ht="15" hidden="false" customHeight="false" outlineLevel="0" collapsed="false">
      <c r="A448" s="10" t="s">
        <v>642</v>
      </c>
      <c r="B448" s="47" t="n">
        <f aca="false">B441-(Inputs!$B$37*B445+(1-Inputs!$B$37)*B446)</f>
        <v>0</v>
      </c>
      <c r="C448" s="47" t="n">
        <f aca="false">C441-(Inputs!$B$37*C445+(1-Inputs!$B$37)*C446)</f>
        <v>5.51113835364286</v>
      </c>
      <c r="D448" s="47" t="n">
        <f aca="false">D441-(Inputs!$B$37*D445+(1-Inputs!$B$37)*D446)</f>
        <v>16.706123172335</v>
      </c>
      <c r="E448" s="47" t="n">
        <f aca="false">E441-(Inputs!$B$37*E445+(1-Inputs!$B$37)*E446)</f>
        <v>25.7141560025612</v>
      </c>
      <c r="F448" s="47" t="n">
        <f aca="false">F441-(Inputs!$B$37*F445+(1-Inputs!$B$37)*F446)</f>
        <v>31.8413197429357</v>
      </c>
    </row>
    <row r="449" customFormat="false" ht="15" hidden="false" customHeight="false" outlineLevel="0" collapsed="false">
      <c r="A449" s="10" t="s">
        <v>643</v>
      </c>
      <c r="B449" s="47" t="n">
        <f aca="false">B448*Inputs!$B$79</f>
        <v>0</v>
      </c>
      <c r="C449" s="47" t="n">
        <f aca="false">C448*Inputs!$B$79</f>
        <v>1.33149102624011</v>
      </c>
      <c r="D449" s="47" t="n">
        <f aca="false">D448*Inputs!$B$79</f>
        <v>4.03619935843614</v>
      </c>
      <c r="E449" s="47" t="n">
        <f aca="false">E448*Inputs!$B$79</f>
        <v>6.21254009021878</v>
      </c>
      <c r="F449" s="47" t="n">
        <f aca="false">F448*Inputs!$B$79</f>
        <v>7.69286284989327</v>
      </c>
    </row>
    <row r="450" customFormat="false" ht="15" hidden="false" customHeight="false" outlineLevel="0" collapsed="false">
      <c r="A450" s="13" t="s">
        <v>644</v>
      </c>
      <c r="B450" s="18" t="n">
        <f aca="false">B447+B446-B449-B445</f>
        <v>0</v>
      </c>
      <c r="C450" s="18" t="n">
        <f aca="false">C447+C446-C449-C445</f>
        <v>5.10102748375989</v>
      </c>
      <c r="D450" s="18" t="n">
        <f aca="false">D447+D446-D449-D445</f>
        <v>14.9663960184639</v>
      </c>
      <c r="E450" s="18" t="n">
        <f aca="false">E447+E446-E449-E445</f>
        <v>22.7775208705452</v>
      </c>
      <c r="F450" s="18" t="n">
        <f aca="false">F447+F446-F449-F445</f>
        <v>27.002520466196</v>
      </c>
    </row>
    <row r="451" customFormat="false" ht="15" hidden="false" customHeight="false" outlineLevel="0" collapsed="false">
      <c r="A451" s="10" t="s">
        <v>645</v>
      </c>
      <c r="B451" s="47" t="n">
        <f aca="false">$F$447*(1-Inputs!$B$79)+$F$446-$F$445</f>
        <v>28.6114512378351</v>
      </c>
    </row>
    <row r="452" customFormat="false" ht="15" hidden="false" customHeight="false" outlineLevel="0" collapsed="false">
      <c r="A452" s="10" t="s">
        <v>646</v>
      </c>
      <c r="B452" s="47" t="n">
        <f aca="false">SUMPRODUCT($C$450:$F$450,$C$527:$F$527)+$F$447*(1-Inputs!$B$79)*Inputs!$B$30*$F$527</f>
        <v>365.694262056818</v>
      </c>
    </row>
    <row r="453" customFormat="false" ht="15" hidden="false" customHeight="false" outlineLevel="0" collapsed="false">
      <c r="A453" s="10" t="s">
        <v>647</v>
      </c>
      <c r="B453" s="47" t="n">
        <f aca="false">SUMPRODUCT($C$450:$F$450,$C$527:$F$527)+$B$451*Inputs!$B$31*$F$527</f>
        <v>428.129689480078</v>
      </c>
    </row>
    <row r="454" customFormat="false" ht="15" hidden="false" customHeight="false" outlineLevel="0" collapsed="false">
      <c r="A454" s="13" t="s">
        <v>648</v>
      </c>
      <c r="B454" s="18" t="n">
        <f aca="false">Inputs!$B$7*$B$452+(1-Inputs!$B$7)*$B$453</f>
        <v>396.911975768448</v>
      </c>
    </row>
    <row r="456" customFormat="false" ht="15" hidden="false" customHeight="false" outlineLevel="0" collapsed="false">
      <c r="A456" s="8" t="s">
        <v>649</v>
      </c>
      <c r="B456" s="9" t="s">
        <v>495</v>
      </c>
      <c r="C456" s="9" t="s">
        <v>496</v>
      </c>
      <c r="D456" s="9" t="s">
        <v>497</v>
      </c>
      <c r="E456" s="9" t="s">
        <v>498</v>
      </c>
      <c r="F456" s="9" t="s">
        <v>499</v>
      </c>
    </row>
    <row r="457" customFormat="false" ht="15" hidden="false" customHeight="false" outlineLevel="0" collapsed="false">
      <c r="A457" s="10" t="s">
        <v>628</v>
      </c>
      <c r="B457" s="19" t="n">
        <f aca="false">IF(0-Inputs!$B$25&lt;0,0,INDEX(Inputs!$B$82:$F$82,1,0-Inputs!$B$25+1))*Inputs!$B$28</f>
        <v>0</v>
      </c>
      <c r="C457" s="19" t="n">
        <f aca="false">IF(1-Inputs!$B$25&lt;0,0,INDEX(Inputs!$B$82:$F$82,1,1-Inputs!$B$25+1))*Inputs!$B$28</f>
        <v>0.1875</v>
      </c>
      <c r="D457" s="19" t="n">
        <f aca="false">IF(2-Inputs!$B$25&lt;0,0,INDEX(Inputs!$B$82:$F$82,1,2-Inputs!$B$25+1))*Inputs!$B$28</f>
        <v>0.375</v>
      </c>
      <c r="E457" s="19" t="n">
        <f aca="false">IF(3-Inputs!$B$25&lt;0,0,INDEX(Inputs!$B$82:$F$82,1,3-Inputs!$B$25+1))*Inputs!$B$28</f>
        <v>0.5625</v>
      </c>
      <c r="F457" s="19" t="n">
        <f aca="false">IF(4-Inputs!$B$25&lt;0,0,INDEX(Inputs!$B$82:$F$82,1,4-Inputs!$B$25+1))*Inputs!$B$28</f>
        <v>0.75</v>
      </c>
    </row>
    <row r="458" customFormat="false" ht="15" hidden="false" customHeight="false" outlineLevel="0" collapsed="false">
      <c r="A458" s="10" t="s">
        <v>629</v>
      </c>
      <c r="B458" s="19" t="n">
        <f aca="false">IF(0-Inputs!$B$25&lt;0,0,INDEX(Inputs!$B$82:$F$82,1,0-Inputs!$B$25+1))</f>
        <v>0</v>
      </c>
      <c r="C458" s="19" t="n">
        <f aca="false">IF(1-Inputs!$B$25&lt;0,0,INDEX(Inputs!$B$82:$F$82,1,1-Inputs!$B$25+1))</f>
        <v>0.25</v>
      </c>
      <c r="D458" s="19" t="n">
        <f aca="false">IF(2-Inputs!$B$25&lt;0,0,INDEX(Inputs!$B$82:$F$82,1,2-Inputs!$B$25+1))</f>
        <v>0.5</v>
      </c>
      <c r="E458" s="19" t="n">
        <f aca="false">IF(3-Inputs!$B$25&lt;0,0,INDEX(Inputs!$B$82:$F$82,1,3-Inputs!$B$25+1))</f>
        <v>0.75</v>
      </c>
      <c r="F458" s="19" t="n">
        <f aca="false">IF(4-Inputs!$B$25&lt;0,0,INDEX(Inputs!$B$82:$F$82,1,4-Inputs!$B$25+1))</f>
        <v>1</v>
      </c>
    </row>
    <row r="459" customFormat="false" ht="15" hidden="false" customHeight="false" outlineLevel="0" collapsed="false">
      <c r="A459" s="10" t="s">
        <v>630</v>
      </c>
      <c r="B459" s="47" t="n">
        <f aca="false">Inputs!$D$155*B457</f>
        <v>0</v>
      </c>
      <c r="C459" s="47" t="n">
        <f aca="false">Inputs!$D$155*C457</f>
        <v>1.875</v>
      </c>
      <c r="D459" s="47" t="n">
        <f aca="false">Inputs!$D$155*D457</f>
        <v>3.75</v>
      </c>
      <c r="E459" s="47" t="n">
        <f aca="false">Inputs!$D$155*E457</f>
        <v>5.625</v>
      </c>
      <c r="F459" s="47" t="n">
        <f aca="false">Inputs!$D$155*F457</f>
        <v>7.5</v>
      </c>
    </row>
    <row r="460" customFormat="false" ht="15" hidden="false" customHeight="false" outlineLevel="0" collapsed="false">
      <c r="A460" s="10" t="s">
        <v>631</v>
      </c>
      <c r="B460" s="47" t="n">
        <f aca="false">Inputs!$D$156*B457</f>
        <v>0</v>
      </c>
      <c r="C460" s="47" t="n">
        <f aca="false">Inputs!$D$156*C457</f>
        <v>5.625</v>
      </c>
      <c r="D460" s="47" t="n">
        <f aca="false">Inputs!$D$156*D457</f>
        <v>11.25</v>
      </c>
      <c r="E460" s="47" t="n">
        <f aca="false">Inputs!$D$156*E457</f>
        <v>16.875</v>
      </c>
      <c r="F460" s="47" t="n">
        <f aca="false">Inputs!$D$156*F457</f>
        <v>22.5</v>
      </c>
    </row>
    <row r="461" customFormat="false" ht="15" hidden="false" customHeight="false" outlineLevel="0" collapsed="false">
      <c r="A461" s="10" t="s">
        <v>632</v>
      </c>
      <c r="B461" s="47" t="n">
        <f aca="false">B460*Inputs!$D$157</f>
        <v>0</v>
      </c>
      <c r="C461" s="47" t="n">
        <f aca="false">C460*Inputs!$D$157</f>
        <v>1.96875</v>
      </c>
      <c r="D461" s="47" t="n">
        <f aca="false">D460*Inputs!$D$157</f>
        <v>3.9375</v>
      </c>
      <c r="E461" s="47" t="n">
        <f aca="false">E460*Inputs!$D$157</f>
        <v>5.90625</v>
      </c>
      <c r="F461" s="47" t="n">
        <f aca="false">F460*Inputs!$D$157</f>
        <v>7.875</v>
      </c>
    </row>
    <row r="462" customFormat="false" ht="15" hidden="false" customHeight="false" outlineLevel="0" collapsed="false">
      <c r="A462" s="10" t="s">
        <v>633</v>
      </c>
      <c r="B462" s="47" t="n">
        <f aca="false">Inputs!$B$27*B458</f>
        <v>0</v>
      </c>
      <c r="C462" s="47" t="n">
        <f aca="false">Inputs!$B$27*C458</f>
        <v>0.25</v>
      </c>
      <c r="D462" s="47" t="n">
        <f aca="false">Inputs!$B$27*D458</f>
        <v>0.5</v>
      </c>
      <c r="E462" s="47" t="n">
        <f aca="false">Inputs!$B$27*E458</f>
        <v>0.75</v>
      </c>
      <c r="F462" s="47" t="n">
        <f aca="false">Inputs!$B$27*F458</f>
        <v>1</v>
      </c>
    </row>
    <row r="463" customFormat="false" ht="15" hidden="false" customHeight="false" outlineLevel="0" collapsed="false">
      <c r="A463" s="10" t="s">
        <v>634</v>
      </c>
      <c r="B463" s="26" t="n">
        <v>0</v>
      </c>
      <c r="C463" s="47" t="n">
        <f aca="false">Inputs!$B$23</f>
        <v>2</v>
      </c>
      <c r="D463" s="26" t="n">
        <v>0</v>
      </c>
      <c r="E463" s="26" t="n">
        <v>0</v>
      </c>
      <c r="F463" s="26" t="n">
        <v>0</v>
      </c>
    </row>
    <row r="464" customFormat="false" ht="15" hidden="false" customHeight="false" outlineLevel="0" collapsed="false">
      <c r="A464" s="10" t="s">
        <v>635</v>
      </c>
      <c r="B464" s="47" t="n">
        <f aca="false">B459+B461-B462-B463</f>
        <v>0</v>
      </c>
      <c r="C464" s="47" t="n">
        <f aca="false">C459+C461-C462-C463</f>
        <v>1.59375</v>
      </c>
      <c r="D464" s="47" t="n">
        <f aca="false">D459+D461-D462-D463</f>
        <v>7.1875</v>
      </c>
      <c r="E464" s="47" t="n">
        <f aca="false">E459+E461-E462-E463</f>
        <v>10.78125</v>
      </c>
      <c r="F464" s="47" t="n">
        <f aca="false">F459+F461-F462-F463</f>
        <v>14.375</v>
      </c>
    </row>
    <row r="465" customFormat="false" ht="15" hidden="false" customHeight="false" outlineLevel="0" collapsed="false">
      <c r="A465" s="10" t="s">
        <v>636</v>
      </c>
      <c r="B465" s="26" t="n">
        <v>0</v>
      </c>
      <c r="C465" s="47" t="n">
        <f aca="false">Inputs!$B$29/2</f>
        <v>1.5</v>
      </c>
      <c r="D465" s="47" t="n">
        <f aca="false">Inputs!$B$29/2</f>
        <v>1.5</v>
      </c>
      <c r="E465" s="26" t="n">
        <v>0</v>
      </c>
      <c r="F465" s="26" t="n">
        <v>0</v>
      </c>
    </row>
    <row r="466" customFormat="false" ht="15" hidden="false" customHeight="false" outlineLevel="0" collapsed="false">
      <c r="A466" s="10" t="s">
        <v>637</v>
      </c>
      <c r="B466" s="26" t="n">
        <v>0</v>
      </c>
      <c r="C466" s="47" t="n">
        <f aca="false">(C25+C131)*Inputs!$D$159*C457</f>
        <v>2.4806388825</v>
      </c>
      <c r="D466" s="47" t="n">
        <f aca="false">(D25+D131)*Inputs!$D$159*D457</f>
        <v>6.564446532675</v>
      </c>
      <c r="E466" s="47" t="n">
        <f aca="false">(E25+E131)*Inputs!$D$159*E457</f>
        <v>10.211295720573</v>
      </c>
      <c r="F466" s="47" t="n">
        <f aca="false">(F25+F131)*Inputs!$D$159*F457</f>
        <v>10.6465374870669</v>
      </c>
    </row>
    <row r="467" customFormat="false" ht="15" hidden="false" customHeight="false" outlineLevel="0" collapsed="false">
      <c r="A467" s="10" t="s">
        <v>638</v>
      </c>
      <c r="B467" s="26" t="n">
        <v>0</v>
      </c>
      <c r="C467" s="26" t="n">
        <v>0</v>
      </c>
      <c r="D467" s="26" t="n">
        <v>0</v>
      </c>
      <c r="E467" s="26" t="n">
        <v>0</v>
      </c>
      <c r="F467" s="26" t="n">
        <v>0</v>
      </c>
    </row>
    <row r="468" customFormat="false" ht="15" hidden="false" customHeight="false" outlineLevel="0" collapsed="false">
      <c r="A468" s="10" t="s">
        <v>639</v>
      </c>
      <c r="B468" s="47" t="n">
        <f aca="false">B465-B466-B467</f>
        <v>0</v>
      </c>
      <c r="C468" s="47" t="n">
        <f aca="false">C465-C466-C467</f>
        <v>-0.9806388825</v>
      </c>
      <c r="D468" s="47" t="n">
        <f aca="false">D465-D466-D467</f>
        <v>-5.064446532675</v>
      </c>
      <c r="E468" s="47" t="n">
        <f aca="false">E465-E466-E467</f>
        <v>-10.211295720573</v>
      </c>
      <c r="F468" s="47" t="n">
        <f aca="false">F465-F466-F467</f>
        <v>-10.6465374870669</v>
      </c>
    </row>
    <row r="469" customFormat="false" ht="15" hidden="false" customHeight="false" outlineLevel="0" collapsed="false">
      <c r="A469" s="10" t="s">
        <v>640</v>
      </c>
      <c r="B469" s="26" t="n">
        <v>0</v>
      </c>
      <c r="C469" s="47" t="n">
        <f aca="false">C468*0.5/Inputs!$B$47</f>
        <v>-0.0700456344642857</v>
      </c>
      <c r="D469" s="47" t="n">
        <f aca="false">C468*IF(1&lt;=Inputs!$B$47-1,1,IF(1=Inputs!$B$47,0.5,0))/Inputs!$B$47+D468*0.5/Inputs!$B$47</f>
        <v>-0.501837449833929</v>
      </c>
      <c r="E469" s="47" t="n">
        <f aca="false">C468*IF(2&lt;=Inputs!$B$47-1,1,IF(2=Inputs!$B$47,0.5,0))/Inputs!$B$47+D468*IF(1&lt;=Inputs!$B$47-1,1,IF(1=Inputs!$B$47,0.5,0))/Inputs!$B$47+E468*0.5/Inputs!$B$47</f>
        <v>-1.5929618964945</v>
      </c>
      <c r="F469" s="47" t="n">
        <f aca="false">C468*IF(3&lt;=Inputs!$B$47-1,1,IF(3=Inputs!$B$47,0.5,0))/Inputs!$B$47+D468*IF(2&lt;=Inputs!$B$47-1,1,IF(2=Inputs!$B$47,0.5,0))/Inputs!$B$47+E468*IF(1&lt;=Inputs!$B$47-1,1,IF(1=Inputs!$B$47,0.5,0))/Inputs!$B$47+F468*0.5/Inputs!$B$47</f>
        <v>-3.08280712561164</v>
      </c>
    </row>
    <row r="470" customFormat="false" ht="15" hidden="false" customHeight="false" outlineLevel="0" collapsed="false">
      <c r="A470" s="13" t="s">
        <v>641</v>
      </c>
      <c r="B470" s="18" t="n">
        <f aca="false">B464-B469</f>
        <v>0</v>
      </c>
      <c r="C470" s="18" t="n">
        <f aca="false">C464-C469</f>
        <v>1.66379563446429</v>
      </c>
      <c r="D470" s="18" t="n">
        <f aca="false">D464-D469</f>
        <v>7.68933744983393</v>
      </c>
      <c r="E470" s="18" t="n">
        <f aca="false">E464-E469</f>
        <v>12.3742118964945</v>
      </c>
      <c r="F470" s="18" t="n">
        <f aca="false">F464-F469</f>
        <v>17.4578071256116</v>
      </c>
    </row>
    <row r="471" customFormat="false" ht="15" hidden="false" customHeight="false" outlineLevel="0" collapsed="false">
      <c r="A471" s="10" t="s">
        <v>642</v>
      </c>
      <c r="B471" s="47" t="n">
        <f aca="false">B464-(Inputs!$B$37*B468+(1-Inputs!$B$37)*B469)</f>
        <v>0</v>
      </c>
      <c r="C471" s="47" t="n">
        <f aca="false">C464-(Inputs!$B$37*C468+(1-Inputs!$B$37)*C469)</f>
        <v>2.30121090808929</v>
      </c>
      <c r="D471" s="47" t="n">
        <f aca="false">D464-(Inputs!$B$37*D468+(1-Inputs!$B$37)*D469)</f>
        <v>10.8831638078227</v>
      </c>
      <c r="E471" s="47" t="n">
        <f aca="false">E464-(Inputs!$B$37*E468+(1-Inputs!$B$37)*E469)</f>
        <v>18.4070455733495</v>
      </c>
      <c r="F471" s="47" t="n">
        <f aca="false">F464-(Inputs!$B$37*F468+(1-Inputs!$B$37)*F469)</f>
        <v>22.7524183786304</v>
      </c>
    </row>
    <row r="472" customFormat="false" ht="15" hidden="false" customHeight="false" outlineLevel="0" collapsed="false">
      <c r="A472" s="10" t="s">
        <v>643</v>
      </c>
      <c r="B472" s="47" t="n">
        <f aca="false">B471*Inputs!$B$79</f>
        <v>0</v>
      </c>
      <c r="C472" s="47" t="n">
        <f aca="false">C471*Inputs!$B$79</f>
        <v>0.555972555394371</v>
      </c>
      <c r="D472" s="47" t="n">
        <f aca="false">D471*Inputs!$B$79</f>
        <v>2.62937237596996</v>
      </c>
      <c r="E472" s="47" t="n">
        <f aca="false">E471*Inputs!$B$79</f>
        <v>4.44714221052123</v>
      </c>
      <c r="F472" s="47" t="n">
        <f aca="false">F471*Inputs!$B$79</f>
        <v>5.49698428027709</v>
      </c>
    </row>
    <row r="473" customFormat="false" ht="15" hidden="false" customHeight="false" outlineLevel="0" collapsed="false">
      <c r="A473" s="13" t="s">
        <v>644</v>
      </c>
      <c r="B473" s="18" t="n">
        <f aca="false">B470+B469-B472-B468</f>
        <v>0</v>
      </c>
      <c r="C473" s="18" t="n">
        <f aca="false">C470+C469-C472-C468</f>
        <v>2.01841632710563</v>
      </c>
      <c r="D473" s="18" t="n">
        <f aca="false">D470+D469-D472-D468</f>
        <v>9.62257415670504</v>
      </c>
      <c r="E473" s="18" t="n">
        <f aca="false">E470+E469-E472-E468</f>
        <v>16.5454035100518</v>
      </c>
      <c r="F473" s="18" t="n">
        <f aca="false">F470+F469-F472-F468</f>
        <v>19.5245532067898</v>
      </c>
    </row>
    <row r="474" customFormat="false" ht="15" hidden="false" customHeight="false" outlineLevel="0" collapsed="false">
      <c r="A474" s="10" t="s">
        <v>645</v>
      </c>
      <c r="B474" s="47" t="n">
        <f aca="false">$F$470*(1-Inputs!$B$79)+$F$469-$F$468</f>
        <v>20.8037312855192</v>
      </c>
    </row>
    <row r="475" customFormat="false" ht="15" hidden="false" customHeight="false" outlineLevel="0" collapsed="false">
      <c r="A475" s="10" t="s">
        <v>646</v>
      </c>
      <c r="B475" s="47" t="n">
        <f aca="false">SUMPRODUCT($C$473:$F$473,$C$527:$F$527)+$F$470*(1-Inputs!$B$79)*Inputs!$B$30*$F$527</f>
        <v>252.627542198702</v>
      </c>
    </row>
    <row r="476" customFormat="false" ht="15" hidden="false" customHeight="false" outlineLevel="0" collapsed="false">
      <c r="A476" s="10" t="s">
        <v>647</v>
      </c>
      <c r="B476" s="47" t="n">
        <f aca="false">SUMPRODUCT($C$473:$F$473,$C$527:$F$527)+$B$474*Inputs!$B$31*$F$527</f>
        <v>308.668818050187</v>
      </c>
    </row>
    <row r="477" customFormat="false" ht="15" hidden="false" customHeight="false" outlineLevel="0" collapsed="false">
      <c r="A477" s="13" t="s">
        <v>648</v>
      </c>
      <c r="B477" s="18" t="n">
        <f aca="false">Inputs!$B$7*$B$475+(1-Inputs!$B$7)*$B$476</f>
        <v>280.648180124445</v>
      </c>
    </row>
    <row r="479" customFormat="false" ht="15" hidden="false" customHeight="false" outlineLevel="0" collapsed="false">
      <c r="A479" s="8" t="s">
        <v>650</v>
      </c>
      <c r="B479" s="9" t="s">
        <v>495</v>
      </c>
      <c r="C479" s="9" t="s">
        <v>496</v>
      </c>
      <c r="D479" s="9" t="s">
        <v>497</v>
      </c>
      <c r="E479" s="9" t="s">
        <v>498</v>
      </c>
      <c r="F479" s="9" t="s">
        <v>499</v>
      </c>
    </row>
    <row r="480" customFormat="false" ht="15" hidden="false" customHeight="false" outlineLevel="0" collapsed="false">
      <c r="A480" s="10" t="s">
        <v>628</v>
      </c>
    </row>
    <row r="481" customFormat="false" ht="15" hidden="false" customHeight="false" outlineLevel="0" collapsed="false">
      <c r="A481" s="10" t="s">
        <v>629</v>
      </c>
    </row>
    <row r="482" customFormat="false" ht="15" hidden="false" customHeight="false" outlineLevel="0" collapsed="false">
      <c r="A482" s="10" t="s">
        <v>630</v>
      </c>
    </row>
    <row r="483" customFormat="false" ht="15" hidden="false" customHeight="false" outlineLevel="0" collapsed="false">
      <c r="A483" s="10" t="s">
        <v>631</v>
      </c>
      <c r="B483" s="26" t="n">
        <v>0</v>
      </c>
      <c r="C483" s="47" t="n">
        <f aca="false">Inputs!$B$76</f>
        <v>1</v>
      </c>
      <c r="D483" s="47" t="n">
        <f aca="false">Inputs!$B$76</f>
        <v>1</v>
      </c>
      <c r="E483" s="47" t="n">
        <f aca="false">Inputs!$B$76</f>
        <v>1</v>
      </c>
      <c r="F483" s="47" t="n">
        <f aca="false">Inputs!$B$76</f>
        <v>1</v>
      </c>
    </row>
    <row r="484" customFormat="false" ht="15" hidden="false" customHeight="false" outlineLevel="0" collapsed="false">
      <c r="A484" s="10" t="s">
        <v>632</v>
      </c>
    </row>
    <row r="485" customFormat="false" ht="15" hidden="false" customHeight="false" outlineLevel="0" collapsed="false">
      <c r="A485" s="10" t="s">
        <v>633</v>
      </c>
    </row>
    <row r="486" customFormat="false" ht="15" hidden="false" customHeight="false" outlineLevel="0" collapsed="false">
      <c r="A486" s="10" t="s">
        <v>634</v>
      </c>
    </row>
    <row r="487" customFormat="false" ht="15" hidden="false" customHeight="false" outlineLevel="0" collapsed="false">
      <c r="A487" s="10" t="s">
        <v>635</v>
      </c>
      <c r="B487" s="47" t="n">
        <f aca="false">-B490</f>
        <v>-0</v>
      </c>
      <c r="C487" s="47" t="n">
        <f aca="false">-C490</f>
        <v>-0.236421725239617</v>
      </c>
      <c r="D487" s="47" t="n">
        <f aca="false">-D490</f>
        <v>-0.236421725239617</v>
      </c>
      <c r="E487" s="47" t="n">
        <f aca="false">-E490</f>
        <v>-0.236421725239617</v>
      </c>
      <c r="F487" s="47" t="n">
        <f aca="false">-F490</f>
        <v>-0.236421725239617</v>
      </c>
    </row>
    <row r="488" customFormat="false" ht="15" hidden="false" customHeight="false" outlineLevel="0" collapsed="false">
      <c r="A488" s="10" t="s">
        <v>636</v>
      </c>
      <c r="B488" s="26" t="n">
        <v>0</v>
      </c>
      <c r="C488" s="26" t="n">
        <v>0</v>
      </c>
      <c r="D488" s="26" t="n">
        <v>0</v>
      </c>
      <c r="E488" s="26" t="n">
        <v>0</v>
      </c>
      <c r="F488" s="26" t="n">
        <v>0</v>
      </c>
    </row>
    <row r="489" customFormat="false" ht="15" hidden="false" customHeight="false" outlineLevel="0" collapsed="false">
      <c r="A489" s="10" t="s">
        <v>637</v>
      </c>
      <c r="B489" s="26" t="n">
        <v>0</v>
      </c>
      <c r="C489" s="26" t="n">
        <v>0</v>
      </c>
      <c r="D489" s="26" t="n">
        <v>0</v>
      </c>
      <c r="E489" s="26" t="n">
        <v>0</v>
      </c>
      <c r="F489" s="26" t="n">
        <v>0</v>
      </c>
    </row>
    <row r="490" customFormat="false" ht="15" hidden="false" customHeight="false" outlineLevel="0" collapsed="false">
      <c r="A490" s="10" t="s">
        <v>638</v>
      </c>
      <c r="B490" s="47" t="n">
        <f aca="false">B483*Inputs!$B$77</f>
        <v>0</v>
      </c>
      <c r="C490" s="47" t="n">
        <f aca="false">C483*Inputs!$B$77</f>
        <v>0.236421725239617</v>
      </c>
      <c r="D490" s="47" t="n">
        <f aca="false">D483*Inputs!$B$77</f>
        <v>0.236421725239617</v>
      </c>
      <c r="E490" s="47" t="n">
        <f aca="false">E483*Inputs!$B$77</f>
        <v>0.236421725239617</v>
      </c>
      <c r="F490" s="47" t="n">
        <f aca="false">F483*Inputs!$B$77</f>
        <v>0.236421725239617</v>
      </c>
    </row>
    <row r="491" customFormat="false" ht="15" hidden="false" customHeight="false" outlineLevel="0" collapsed="false">
      <c r="A491" s="10" t="s">
        <v>639</v>
      </c>
      <c r="B491" s="47" t="n">
        <f aca="false">B488-B489-B490</f>
        <v>0</v>
      </c>
      <c r="C491" s="47" t="n">
        <f aca="false">C488-C489-C490</f>
        <v>-0.236421725239617</v>
      </c>
      <c r="D491" s="47" t="n">
        <f aca="false">D488-D489-D490</f>
        <v>-0.236421725239617</v>
      </c>
      <c r="E491" s="47" t="n">
        <f aca="false">E488-E489-E490</f>
        <v>-0.236421725239617</v>
      </c>
      <c r="F491" s="47" t="n">
        <f aca="false">F488-F489-F490</f>
        <v>-0.236421725239617</v>
      </c>
    </row>
    <row r="492" customFormat="false" ht="15" hidden="false" customHeight="false" outlineLevel="0" collapsed="false">
      <c r="A492" s="10" t="s">
        <v>640</v>
      </c>
      <c r="B492" s="26" t="n">
        <v>0</v>
      </c>
      <c r="C492" s="47" t="n">
        <f aca="false">C491*0.5/Inputs!$B$47</f>
        <v>-0.0168872660885441</v>
      </c>
      <c r="D492" s="47" t="n">
        <f aca="false">C491*IF(1&lt;=Inputs!$B$47-1,1,IF(1=Inputs!$B$47,0.5,0))/Inputs!$B$47+D491*0.5/Inputs!$B$47</f>
        <v>-0.0506617982656322</v>
      </c>
      <c r="E492" s="47" t="n">
        <f aca="false">C491*IF(2&lt;=Inputs!$B$47-1,1,IF(2=Inputs!$B$47,0.5,0))/Inputs!$B$47+D491*IF(1&lt;=Inputs!$B$47-1,1,IF(1=Inputs!$B$47,0.5,0))/Inputs!$B$47+E491*0.5/Inputs!$B$47</f>
        <v>-0.0844363304427202</v>
      </c>
      <c r="F492" s="47" t="n">
        <f aca="false">C491*IF(3&lt;=Inputs!$B$47-1,1,IF(3=Inputs!$B$47,0.5,0))/Inputs!$B$47+D491*IF(2&lt;=Inputs!$B$47-1,1,IF(2=Inputs!$B$47,0.5,0))/Inputs!$B$47+E491*IF(1&lt;=Inputs!$B$47-1,1,IF(1=Inputs!$B$47,0.5,0))/Inputs!$B$47+F491*0.5/Inputs!$B$47</f>
        <v>-0.118210862619808</v>
      </c>
      <c r="G492" s="6" t="s">
        <v>651</v>
      </c>
    </row>
    <row r="493" customFormat="false" ht="15" hidden="false" customHeight="false" outlineLevel="0" collapsed="false">
      <c r="A493" s="13" t="s">
        <v>641</v>
      </c>
      <c r="B493" s="18" t="n">
        <f aca="false">B487-B492</f>
        <v>-0</v>
      </c>
      <c r="C493" s="18" t="n">
        <f aca="false">C487-C492</f>
        <v>-0.219534459151073</v>
      </c>
      <c r="D493" s="18" t="n">
        <f aca="false">D487-D492</f>
        <v>-0.185759926973985</v>
      </c>
      <c r="E493" s="18" t="n">
        <f aca="false">E487-E492</f>
        <v>-0.151985394796896</v>
      </c>
      <c r="F493" s="18" t="n">
        <f aca="false">F487-F492</f>
        <v>-0.118210862619808</v>
      </c>
    </row>
    <row r="494" customFormat="false" ht="15" hidden="false" customHeight="false" outlineLevel="0" collapsed="false">
      <c r="A494" s="10" t="s">
        <v>642</v>
      </c>
      <c r="B494" s="47" t="n">
        <f aca="false">B487-(Inputs!$B$37*B491+(1-Inputs!$B$37)*B492)</f>
        <v>-0</v>
      </c>
      <c r="C494" s="47" t="n">
        <f aca="false">C487-(Inputs!$B$37*C491+(1-Inputs!$B$37)*C492)</f>
        <v>-0.0658603377453218</v>
      </c>
      <c r="D494" s="47" t="n">
        <f aca="false">D487-(Inputs!$B$37*D491+(1-Inputs!$B$37)*D492)</f>
        <v>-0.0557279780921954</v>
      </c>
      <c r="E494" s="47" t="n">
        <f aca="false">E487-(Inputs!$B$37*E491+(1-Inputs!$B$37)*E492)</f>
        <v>-0.0455956184390689</v>
      </c>
      <c r="F494" s="47" t="n">
        <f aca="false">F487-(Inputs!$B$37*F491+(1-Inputs!$B$37)*F492)</f>
        <v>-0.0354632587859425</v>
      </c>
    </row>
    <row r="495" customFormat="false" ht="15" hidden="false" customHeight="false" outlineLevel="0" collapsed="false">
      <c r="A495" s="10" t="s">
        <v>643</v>
      </c>
      <c r="B495" s="47" t="n">
        <f aca="false">B494*Inputs!$B$79</f>
        <v>-0</v>
      </c>
      <c r="C495" s="47" t="n">
        <f aca="false">C494*Inputs!$B$79</f>
        <v>-0.0159118575992697</v>
      </c>
      <c r="D495" s="47" t="n">
        <f aca="false">D494*Inputs!$B$79</f>
        <v>-0.0134638795070744</v>
      </c>
      <c r="E495" s="47" t="n">
        <f aca="false">E494*Inputs!$B$79</f>
        <v>-0.0110159014148791</v>
      </c>
      <c r="F495" s="47" t="n">
        <f aca="false">F494*Inputs!$B$79</f>
        <v>-0.00856792332268371</v>
      </c>
    </row>
    <row r="496" customFormat="false" ht="15" hidden="false" customHeight="false" outlineLevel="0" collapsed="false">
      <c r="A496" s="13" t="s">
        <v>644</v>
      </c>
      <c r="B496" s="18" t="n">
        <f aca="false">B493+B492-B495-B491</f>
        <v>0</v>
      </c>
      <c r="C496" s="18" t="n">
        <f aca="false">C493+C492-C495-C491</f>
        <v>0.0159118575992697</v>
      </c>
      <c r="D496" s="18" t="n">
        <f aca="false">D493+D492-D495-D491</f>
        <v>0.0134638795070744</v>
      </c>
      <c r="E496" s="18" t="n">
        <f aca="false">E493+E492-E495-E491</f>
        <v>0.011015901414879</v>
      </c>
      <c r="F496" s="18" t="n">
        <f aca="false">F493+F492-F495-F491</f>
        <v>0.00856792332268372</v>
      </c>
    </row>
    <row r="497" customFormat="false" ht="15" hidden="false" customHeight="false" outlineLevel="0" collapsed="false">
      <c r="A497" s="10" t="s">
        <v>645</v>
      </c>
      <c r="B497" s="47" t="n">
        <f aca="false">$F$493*(1-Inputs!$B$79)+$F$492-$F$491</f>
        <v>0.0285597444089457</v>
      </c>
    </row>
    <row r="498" customFormat="false" ht="15" hidden="false" customHeight="false" outlineLevel="0" collapsed="false">
      <c r="A498" s="10" t="s">
        <v>646</v>
      </c>
      <c r="B498" s="47" t="n">
        <f aca="false">SUMPRODUCT($C$496:$F$496,$C$527:$F$527)+$F$493*(1-Inputs!$B$79)*Inputs!$B$30*$F$527</f>
        <v>-1.43743792866456</v>
      </c>
    </row>
    <row r="499" customFormat="false" ht="15" hidden="false" customHeight="false" outlineLevel="0" collapsed="false">
      <c r="A499" s="10" t="s">
        <v>647</v>
      </c>
      <c r="B499" s="47" t="n">
        <f aca="false">SUMPRODUCT($C$496:$F$496,$C$527:$F$527)+$B$497*Inputs!$B$31*$F$527</f>
        <v>0.415225047257938</v>
      </c>
    </row>
    <row r="500" customFormat="false" ht="15" hidden="false" customHeight="false" outlineLevel="0" collapsed="false">
      <c r="A500" s="13" t="s">
        <v>648</v>
      </c>
      <c r="B500" s="18" t="n">
        <f aca="false">Inputs!$B$7*$B$498+(1-Inputs!$B$7)*$B$499</f>
        <v>-0.511106440703309</v>
      </c>
    </row>
    <row r="502" customFormat="false" ht="15" hidden="false" customHeight="false" outlineLevel="0" collapsed="false">
      <c r="A502" s="8" t="s">
        <v>62</v>
      </c>
      <c r="B502" s="9" t="s">
        <v>495</v>
      </c>
      <c r="C502" s="9" t="s">
        <v>496</v>
      </c>
      <c r="D502" s="9" t="s">
        <v>497</v>
      </c>
      <c r="E502" s="9" t="s">
        <v>498</v>
      </c>
      <c r="F502" s="9" t="s">
        <v>499</v>
      </c>
    </row>
    <row r="503" customFormat="false" ht="15" hidden="false" customHeight="false" outlineLevel="0" collapsed="false">
      <c r="A503" s="13" t="s">
        <v>108</v>
      </c>
      <c r="B503" s="18" t="n">
        <f aca="false">B8+B119+B437-B483</f>
        <v>166.152</v>
      </c>
      <c r="C503" s="18" t="n">
        <f aca="false">C8+C119+C437-C483</f>
        <v>352.76555</v>
      </c>
      <c r="D503" s="18" t="n">
        <f aca="false">D8+D119+D437-D483</f>
        <v>546.4209815</v>
      </c>
      <c r="E503" s="18" t="n">
        <f aca="false">E8+E119+E437-E483</f>
        <v>776.829935435</v>
      </c>
      <c r="F503" s="18" t="n">
        <f aca="false">F8+F119+F437-F483</f>
        <v>1041.99412067455</v>
      </c>
    </row>
    <row r="504" customFormat="false" ht="15" hidden="false" customHeight="false" outlineLevel="0" collapsed="false">
      <c r="A504" s="13" t="s">
        <v>513</v>
      </c>
      <c r="B504" s="18" t="n">
        <f aca="false">B20+B129+B447+B493</f>
        <v>11.1545</v>
      </c>
      <c r="C504" s="18" t="n">
        <f aca="false">C20+C129+C447+C493</f>
        <v>80.7823870026807</v>
      </c>
      <c r="D504" s="18" t="n">
        <f aca="false">D20+D129+D447+D493</f>
        <v>145.653595066666</v>
      </c>
      <c r="E504" s="18" t="n">
        <f aca="false">E20+E129+E447+E493</f>
        <v>229.556710808186</v>
      </c>
      <c r="F504" s="18" t="n">
        <f aca="false">F20+F129+F447+F493</f>
        <v>350.543558726707</v>
      </c>
    </row>
    <row r="505" customFormat="false" ht="15" hidden="false" customHeight="false" outlineLevel="0" collapsed="false">
      <c r="A505" s="10" t="s">
        <v>514</v>
      </c>
      <c r="B505" s="19" t="n">
        <f aca="false">IFERROR(B504/B503,0)</f>
        <v>0.0671343107516009</v>
      </c>
      <c r="C505" s="19" t="n">
        <f aca="false">IFERROR(C504/C503,0)</f>
        <v>0.228997380845949</v>
      </c>
      <c r="D505" s="19" t="n">
        <f aca="false">IFERROR(D504/D503,0)</f>
        <v>0.266559301340932</v>
      </c>
      <c r="E505" s="19" t="n">
        <f aca="false">IFERROR(E504/E503,0)</f>
        <v>0.295504460290452</v>
      </c>
      <c r="F505" s="19" t="n">
        <f aca="false">IFERROR(F504/F503,0)</f>
        <v>0.336416062021326</v>
      </c>
    </row>
    <row r="506" customFormat="false" ht="15" hidden="false" customHeight="false" outlineLevel="0" collapsed="false">
      <c r="A506" s="10" t="s">
        <v>616</v>
      </c>
      <c r="B506" s="47" t="n">
        <f aca="false">B25+B131+B445+B491</f>
        <v>103.069</v>
      </c>
      <c r="C506" s="47" t="n">
        <f aca="false">C25+C131+C445+C491</f>
        <v>216.95729376476</v>
      </c>
      <c r="D506" s="47" t="n">
        <f aca="false">D25+D131+D445+D491</f>
        <v>282.76416212786</v>
      </c>
      <c r="E506" s="47" t="n">
        <f aca="false">E25+E131+E445+E491</f>
        <v>288.705427553196</v>
      </c>
      <c r="F506" s="47" t="n">
        <f aca="false">F25+F131+F445+F491</f>
        <v>222.157916893492</v>
      </c>
    </row>
    <row r="507" customFormat="false" ht="15" hidden="false" customHeight="false" outlineLevel="0" collapsed="false">
      <c r="A507" s="10" t="s">
        <v>652</v>
      </c>
      <c r="B507" s="47" t="n">
        <f aca="false">B44+B148+B449+B495</f>
        <v>0.211275</v>
      </c>
      <c r="C507" s="47" t="n">
        <f aca="false">C44+C148+C449+C495</f>
        <v>1.31557916864084</v>
      </c>
      <c r="D507" s="47" t="n">
        <f aca="false">D44+D148+D449+D495</f>
        <v>4.23368332322973</v>
      </c>
      <c r="E507" s="47" t="n">
        <f aca="false">E44+E148+E449+E495</f>
        <v>10.5003815199432</v>
      </c>
      <c r="F507" s="47" t="n">
        <f aca="false">F44+F148+F449+F495</f>
        <v>53.6433504520606</v>
      </c>
    </row>
    <row r="508" customFormat="false" ht="15" hidden="false" customHeight="false" outlineLevel="0" collapsed="false">
      <c r="A508" s="13" t="s">
        <v>653</v>
      </c>
      <c r="B508" s="18" t="n">
        <f aca="false">B49+B153+B450+B496</f>
        <v>-28.473775</v>
      </c>
      <c r="C508" s="18" t="n">
        <f aca="false">C49+C153+C450+C496</f>
        <v>-97.0048521586409</v>
      </c>
      <c r="D508" s="18" t="n">
        <f aca="false">D49+D153+D450+D496</f>
        <v>-69.6494288229964</v>
      </c>
      <c r="E508" s="18" t="n">
        <f aca="false">E49+E153+E450+E496</f>
        <v>38.3509215544375</v>
      </c>
      <c r="F508" s="18" t="n">
        <f aca="false">F49+F153+F450+F496</f>
        <v>214.630189901353</v>
      </c>
    </row>
    <row r="509" customFormat="false" ht="15" hidden="false" customHeight="false" outlineLevel="0" collapsed="false">
      <c r="A509" s="10" t="s">
        <v>543</v>
      </c>
      <c r="C509" s="47" t="n">
        <f aca="false">C50+C154+C450+C496</f>
        <v>-74.4036061586409</v>
      </c>
      <c r="D509" s="47" t="n">
        <f aca="false">D50+D154+D450+D496</f>
        <v>-33.2751118029964</v>
      </c>
      <c r="E509" s="47" t="n">
        <f aca="false">E50+E154+E450+E496</f>
        <v>90.7310075542375</v>
      </c>
      <c r="F509" s="47" t="n">
        <f aca="false">F50+F154+F450+F496</f>
        <v>284.734317327567</v>
      </c>
      <c r="G509" s="6" t="s">
        <v>654</v>
      </c>
    </row>
    <row r="510" customFormat="false" ht="15" hidden="false" customHeight="false" outlineLevel="0" collapsed="false">
      <c r="A510" s="10" t="s">
        <v>544</v>
      </c>
      <c r="C510" s="47" t="n">
        <f aca="false">B521</f>
        <v>110.913798994975</v>
      </c>
      <c r="D510" s="47" t="n">
        <f aca="false">C521</f>
        <v>36.5576008328913</v>
      </c>
      <c r="E510" s="47" t="n">
        <f aca="false">D521</f>
        <v>15</v>
      </c>
      <c r="F510" s="47" t="n">
        <f aca="false">E521</f>
        <v>104.367054969028</v>
      </c>
    </row>
    <row r="511" customFormat="false" ht="15" hidden="false" customHeight="false" outlineLevel="0" collapsed="false">
      <c r="A511" s="10" t="s">
        <v>545</v>
      </c>
      <c r="C511" s="47" t="n">
        <f aca="false">B522</f>
        <v>48.367</v>
      </c>
      <c r="D511" s="47" t="n">
        <f aca="false">C522</f>
        <v>48.367</v>
      </c>
      <c r="E511" s="47" t="n">
        <f aca="false">D522</f>
        <v>62.5215614098409</v>
      </c>
      <c r="F511" s="47" t="n">
        <f aca="false">E522</f>
        <v>62.5215614098409</v>
      </c>
    </row>
    <row r="512" customFormat="false" ht="15" hidden="false" customHeight="false" outlineLevel="0" collapsed="false">
      <c r="A512" s="10" t="s">
        <v>546</v>
      </c>
      <c r="C512" s="47" t="n">
        <f aca="false">Inputs!$B$62+Inputs!$B$63</f>
        <v>0</v>
      </c>
      <c r="D512" s="26" t="n">
        <v>0</v>
      </c>
      <c r="E512" s="26" t="n">
        <v>0</v>
      </c>
      <c r="F512" s="26" t="n">
        <v>0</v>
      </c>
    </row>
    <row r="513" customFormat="false" ht="15" hidden="false" customHeight="false" outlineLevel="0" collapsed="false">
      <c r="A513" s="10" t="s">
        <v>547</v>
      </c>
      <c r="C513" s="47" t="n">
        <f aca="false">(C510+C509-C512+Inputs!$B$60*C510/2-Inputs!$B$61*(C511-C512/2))/(1-Inputs!$B$60/2)</f>
        <v>36.5576008328913</v>
      </c>
      <c r="D513" s="47" t="n">
        <f aca="false">(D510+D509-D512+Inputs!$B$60*D510/2-Inputs!$B$61*(D511-D512/2))/(1-Inputs!$B$60/2)</f>
        <v>1.13430719035996</v>
      </c>
      <c r="E513" s="47" t="n">
        <f aca="false">(E510+E509-E512+Inputs!$B$60*E510/2-Inputs!$B$61*(E511-E512/2))/(1-Inputs!$B$60/2)</f>
        <v>104.367054969028</v>
      </c>
      <c r="F513" s="47" t="n">
        <f aca="false">(F510+F509-F512+Inputs!$B$60*F510/2-Inputs!$B$61*(F511-F512/2))/(1-Inputs!$B$60/2)</f>
        <v>395.344305827943</v>
      </c>
    </row>
    <row r="514" customFormat="false" ht="15" hidden="false" customHeight="false" outlineLevel="0" collapsed="false">
      <c r="A514" s="10" t="s">
        <v>548</v>
      </c>
      <c r="C514" s="47" t="n">
        <f aca="false">IF(C513&gt;=Inputs!$B$68,0,(Inputs!$B$68-C510-C509+C512-Inputs!$B$60*(C510+Inputs!$B$68)/2+Inputs!$B$61*(C511-C512/2))/(1-Inputs!$B$61*Inputs!$B$69/(2*(1-Inputs!$B$70))))</f>
        <v>0</v>
      </c>
      <c r="D514" s="47" t="n">
        <f aca="false">IF(D513&gt;=Inputs!$B$68,0,(Inputs!$B$68-D510-D509+D512-Inputs!$B$60*(D510+Inputs!$B$68)/2+Inputs!$B$61*(D511-D512/2))/(1-Inputs!$B$61*Inputs!$B$69/(2*(1-Inputs!$B$70))))</f>
        <v>14.0130157957425</v>
      </c>
      <c r="E514" s="47" t="n">
        <f aca="false">IF(E513&gt;=Inputs!$B$68,0,(Inputs!$B$68-E510-E509+E512-Inputs!$B$60*(E510+Inputs!$B$68)/2+Inputs!$B$61*(E511-E512/2))/(1-Inputs!$B$61*Inputs!$B$69/(2*(1-Inputs!$B$70))))</f>
        <v>0</v>
      </c>
      <c r="F514" s="47" t="n">
        <f aca="false">IF(F513&gt;=Inputs!$B$68,0,(Inputs!$B$68-F510-F509+F512-Inputs!$B$60*(F510+Inputs!$B$68)/2+Inputs!$B$61*(F511-F512/2))/(1-Inputs!$B$61*Inputs!$B$69/(2*(1-Inputs!$B$70))))</f>
        <v>0</v>
      </c>
    </row>
    <row r="515" customFormat="false" ht="15" hidden="false" customHeight="false" outlineLevel="0" collapsed="false">
      <c r="A515" s="10" t="s">
        <v>549</v>
      </c>
      <c r="C515" s="47" t="n">
        <f aca="false">C514/(1-Inputs!$B$70)</f>
        <v>0</v>
      </c>
      <c r="D515" s="47" t="n">
        <f aca="false">D514/(1-Inputs!$B$70)</f>
        <v>14.1545614098409</v>
      </c>
      <c r="E515" s="47" t="n">
        <f aca="false">E514/(1-Inputs!$B$70)</f>
        <v>0</v>
      </c>
      <c r="F515" s="47" t="n">
        <f aca="false">F514/(1-Inputs!$B$70)</f>
        <v>0</v>
      </c>
    </row>
    <row r="516" customFormat="false" ht="15" hidden="false" customHeight="false" outlineLevel="0" collapsed="false">
      <c r="A516" s="10" t="s">
        <v>550</v>
      </c>
      <c r="C516" s="47" t="n">
        <f aca="false">C515*Inputs!$B$69</f>
        <v>0</v>
      </c>
      <c r="D516" s="47" t="n">
        <f aca="false">D515*Inputs!$B$69</f>
        <v>14.1545614098409</v>
      </c>
      <c r="E516" s="47" t="n">
        <f aca="false">E515*Inputs!$B$69</f>
        <v>0</v>
      </c>
      <c r="F516" s="47" t="n">
        <f aca="false">F515*Inputs!$B$69</f>
        <v>0</v>
      </c>
    </row>
    <row r="517" customFormat="false" ht="15" hidden="false" customHeight="false" outlineLevel="0" collapsed="false">
      <c r="A517" s="10" t="s">
        <v>551</v>
      </c>
      <c r="C517" s="47" t="n">
        <f aca="false">C515-C516</f>
        <v>0</v>
      </c>
      <c r="D517" s="47" t="n">
        <f aca="false">D515-D516</f>
        <v>0</v>
      </c>
      <c r="E517" s="47" t="n">
        <f aca="false">E515-E516</f>
        <v>0</v>
      </c>
      <c r="F517" s="47" t="n">
        <f aca="false">F515-F516</f>
        <v>0</v>
      </c>
    </row>
    <row r="518" customFormat="false" ht="15" hidden="false" customHeight="false" outlineLevel="0" collapsed="false">
      <c r="A518" s="10" t="s">
        <v>552</v>
      </c>
      <c r="C518" s="47" t="n">
        <f aca="false">C515-C514</f>
        <v>0</v>
      </c>
      <c r="D518" s="47" t="n">
        <f aca="false">D515-D514</f>
        <v>0.141545614098408</v>
      </c>
      <c r="E518" s="47" t="n">
        <f aca="false">E515-E514</f>
        <v>0</v>
      </c>
      <c r="F518" s="47" t="n">
        <f aca="false">F515-F514</f>
        <v>0</v>
      </c>
    </row>
    <row r="519" customFormat="false" ht="15" hidden="false" customHeight="false" outlineLevel="0" collapsed="false">
      <c r="A519" s="10" t="s">
        <v>553</v>
      </c>
      <c r="C519" s="47" t="n">
        <f aca="false">Inputs!$B$60*(C510+C521)/2</f>
        <v>2.94942799655732</v>
      </c>
      <c r="D519" s="47" t="n">
        <f aca="false">Inputs!$B$60*(D510+D521)/2</f>
        <v>1.03115201665783</v>
      </c>
      <c r="E519" s="47" t="n">
        <f aca="false">Inputs!$B$60*(E510+E521)/2</f>
        <v>2.38734109938055</v>
      </c>
      <c r="F519" s="47" t="n">
        <f aca="false">Inputs!$B$60*(F510+F521)/2</f>
        <v>9.99422721593942</v>
      </c>
    </row>
    <row r="520" customFormat="false" ht="15" hidden="false" customHeight="false" outlineLevel="0" collapsed="false">
      <c r="A520" s="10" t="s">
        <v>554</v>
      </c>
      <c r="C520" s="47" t="n">
        <f aca="false">Inputs!$B$61*(C511-C512/2+C516/2)</f>
        <v>2.90202</v>
      </c>
      <c r="D520" s="47" t="n">
        <f aca="false">Inputs!$B$61*(D511-D512/2+D516/2)</f>
        <v>3.32665684229523</v>
      </c>
      <c r="E520" s="47" t="n">
        <f aca="false">Inputs!$B$61*(E511-E512/2+E516/2)</f>
        <v>3.75129368459045</v>
      </c>
      <c r="F520" s="47" t="n">
        <f aca="false">Inputs!$B$61*(F511-F512/2+F516/2)</f>
        <v>3.75129368459045</v>
      </c>
    </row>
    <row r="521" customFormat="false" ht="15" hidden="false" customHeight="false" outlineLevel="0" collapsed="false">
      <c r="A521" s="13" t="s">
        <v>555</v>
      </c>
      <c r="B521" s="47" t="n">
        <f aca="false">B62+B166</f>
        <v>110.913798994975</v>
      </c>
      <c r="C521" s="18" t="n">
        <f aca="false">IF(C514&gt;0,Inputs!$B$68,C513)</f>
        <v>36.5576008328913</v>
      </c>
      <c r="D521" s="18" t="n">
        <f aca="false">IF(D514&gt;0,Inputs!$B$68,D513)</f>
        <v>15</v>
      </c>
      <c r="E521" s="18" t="n">
        <f aca="false">IF(E514&gt;0,Inputs!$B$68,E513)</f>
        <v>104.367054969028</v>
      </c>
      <c r="F521" s="18" t="n">
        <f aca="false">IF(F514&gt;0,Inputs!$B$68,F513)</f>
        <v>395.344305827943</v>
      </c>
    </row>
    <row r="522" customFormat="false" ht="15" hidden="false" customHeight="false" outlineLevel="0" collapsed="false">
      <c r="A522" s="10" t="s">
        <v>556</v>
      </c>
      <c r="B522" s="47" t="n">
        <f aca="false">B63+B167</f>
        <v>48.367</v>
      </c>
      <c r="C522" s="47" t="n">
        <f aca="false">C511-C512+C516</f>
        <v>48.367</v>
      </c>
      <c r="D522" s="47" t="n">
        <f aca="false">D511-D512+D516</f>
        <v>62.5215614098409</v>
      </c>
      <c r="E522" s="47" t="n">
        <f aca="false">E511-E512+E516</f>
        <v>62.5215614098409</v>
      </c>
      <c r="F522" s="47" t="n">
        <f aca="false">F511-F512+F516</f>
        <v>62.5215614098409</v>
      </c>
    </row>
    <row r="523" customFormat="false" ht="15" hidden="false" customHeight="false" outlineLevel="0" collapsed="false">
      <c r="A523" s="13" t="s">
        <v>557</v>
      </c>
      <c r="B523" s="18" t="n">
        <f aca="false">B521-B522</f>
        <v>62.5467989949749</v>
      </c>
      <c r="C523" s="18" t="n">
        <f aca="false">C521-C522</f>
        <v>-11.8093991671087</v>
      </c>
      <c r="D523" s="18" t="n">
        <f aca="false">D521-D522</f>
        <v>-47.5215614098409</v>
      </c>
      <c r="E523" s="18" t="n">
        <f aca="false">E521-E522</f>
        <v>41.8454935591867</v>
      </c>
      <c r="F523" s="18" t="n">
        <f aca="false">F521-F522</f>
        <v>332.822744418102</v>
      </c>
    </row>
    <row r="524" customFormat="false" ht="15" hidden="false" customHeight="false" outlineLevel="0" collapsed="false">
      <c r="A524" s="10" t="s">
        <v>558</v>
      </c>
      <c r="C524" s="33" t="n">
        <f aca="false">ROUND(C510+C509-C512+C519-C520+C514-C521,6)</f>
        <v>0</v>
      </c>
      <c r="D524" s="33" t="n">
        <f aca="false">ROUND(D510+D509-D512+D519-D520+D514-D521,6)</f>
        <v>0</v>
      </c>
      <c r="E524" s="33" t="n">
        <f aca="false">ROUND(E510+E509-E512+E519-E520+E514-E521,6)</f>
        <v>0</v>
      </c>
      <c r="F524" s="33" t="n">
        <f aca="false">ROUND(F510+F509-F512+F519-F520+F514-F521,6)</f>
        <v>0</v>
      </c>
    </row>
    <row r="525" customFormat="false" ht="15" hidden="false" customHeight="false" outlineLevel="0" collapsed="false">
      <c r="A525" s="10" t="s">
        <v>559</v>
      </c>
      <c r="B525" s="47" t="n">
        <f aca="false">B66+B170</f>
        <v>0</v>
      </c>
      <c r="C525" s="47" t="n">
        <f aca="false">B525+C515</f>
        <v>0</v>
      </c>
      <c r="D525" s="47" t="n">
        <f aca="false">C525+D515</f>
        <v>14.1545614098409</v>
      </c>
      <c r="E525" s="47" t="n">
        <f aca="false">D525+E515</f>
        <v>14.1545614098409</v>
      </c>
      <c r="F525" s="47" t="n">
        <f aca="false">E525+F515</f>
        <v>14.1545614098409</v>
      </c>
    </row>
    <row r="526" customFormat="false" ht="15" hidden="false" customHeight="false" outlineLevel="0" collapsed="false">
      <c r="A526" s="10" t="s">
        <v>560</v>
      </c>
      <c r="C526" s="49" t="str">
        <f aca="false">IF(C525&gt;Inputs!$B$74,"UNFUNDED: above limit",IF(C515&gt;0,"Raising","OK"))</f>
        <v>OK</v>
      </c>
      <c r="D526" s="49" t="str">
        <f aca="false">IF(D525&gt;Inputs!$B$74,"UNFUNDED: above limit",IF(D515&gt;0,"Raising","OK"))</f>
        <v>Raising</v>
      </c>
      <c r="E526" s="49" t="str">
        <f aca="false">IF(E525&gt;Inputs!$B$74,"UNFUNDED: above limit",IF(E515&gt;0,"Raising","OK"))</f>
        <v>OK</v>
      </c>
      <c r="F526" s="49" t="str">
        <f aca="false">IF(F525&gt;Inputs!$B$74,"UNFUNDED: above limit",IF(F515&gt;0,"Raising","OK"))</f>
        <v>OK</v>
      </c>
    </row>
    <row r="527" customFormat="false" ht="15" hidden="false" customHeight="false" outlineLevel="0" collapsed="false">
      <c r="A527" s="10" t="s">
        <v>655</v>
      </c>
      <c r="C527" s="25" t="n">
        <f aca="false">1/(1+Inputs!$B$6)^1</f>
        <v>0.900900900900901</v>
      </c>
      <c r="D527" s="25" t="n">
        <f aca="false">1/(1+Inputs!$B$6)^2</f>
        <v>0.811622433244055</v>
      </c>
      <c r="E527" s="25" t="n">
        <f aca="false">1/(1+Inputs!$B$6)^3</f>
        <v>0.73119138130095</v>
      </c>
      <c r="F527" s="25" t="n">
        <f aca="false">1/(1+Inputs!$B$6)^4</f>
        <v>0.658730974145</v>
      </c>
    </row>
    <row r="529" customFormat="false" ht="15" hidden="false" customHeight="false" outlineLevel="0" collapsed="false">
      <c r="A529" s="8" t="s">
        <v>656</v>
      </c>
      <c r="B529" s="9" t="s">
        <v>495</v>
      </c>
      <c r="C529" s="9" t="s">
        <v>496</v>
      </c>
      <c r="D529" s="9" t="s">
        <v>497</v>
      </c>
      <c r="E529" s="9" t="s">
        <v>498</v>
      </c>
      <c r="F529" s="9" t="s">
        <v>499</v>
      </c>
    </row>
    <row r="530" customFormat="false" ht="15" hidden="false" customHeight="false" outlineLevel="0" collapsed="false">
      <c r="A530" s="10" t="s">
        <v>543</v>
      </c>
      <c r="C530" s="47" t="n">
        <f aca="false">C50+C154+C473+C496</f>
        <v>-77.4862173152951</v>
      </c>
      <c r="D530" s="47" t="n">
        <f aca="false">D50+D154+D473+D496</f>
        <v>-38.6189336647552</v>
      </c>
      <c r="E530" s="47" t="n">
        <f aca="false">E50+E154+E473+E496</f>
        <v>84.4988901937441</v>
      </c>
      <c r="F530" s="47" t="n">
        <f aca="false">F50+F154+F473+F496</f>
        <v>277.256350068161</v>
      </c>
    </row>
    <row r="531" customFormat="false" ht="15" hidden="false" customHeight="false" outlineLevel="0" collapsed="false">
      <c r="A531" s="10" t="s">
        <v>544</v>
      </c>
      <c r="C531" s="47" t="n">
        <f aca="false">B542</f>
        <v>110.913798994975</v>
      </c>
      <c r="D531" s="47" t="n">
        <f aca="false">C542</f>
        <v>33.4120792444686</v>
      </c>
      <c r="E531" s="47" t="n">
        <f aca="false">D542</f>
        <v>15</v>
      </c>
      <c r="F531" s="47" t="n">
        <f aca="false">E542</f>
        <v>97.4623271852365</v>
      </c>
    </row>
    <row r="532" customFormat="false" ht="15" hidden="false" customHeight="false" outlineLevel="0" collapsed="false">
      <c r="A532" s="10" t="s">
        <v>545</v>
      </c>
      <c r="C532" s="47" t="n">
        <f aca="false">B543</f>
        <v>48.367</v>
      </c>
      <c r="D532" s="47" t="n">
        <f aca="false">C543</f>
        <v>48.367</v>
      </c>
      <c r="E532" s="47" t="n">
        <f aca="false">D543</f>
        <v>71.4301592035388</v>
      </c>
      <c r="F532" s="47" t="n">
        <f aca="false">E543</f>
        <v>71.4301592035388</v>
      </c>
    </row>
    <row r="533" customFormat="false" ht="15" hidden="false" customHeight="false" outlineLevel="0" collapsed="false">
      <c r="A533" s="10" t="s">
        <v>546</v>
      </c>
      <c r="C533" s="47" t="n">
        <f aca="false">Inputs!$B$62+Inputs!$B$63</f>
        <v>0</v>
      </c>
      <c r="D533" s="26" t="n">
        <v>0</v>
      </c>
      <c r="E533" s="26" t="n">
        <v>0</v>
      </c>
      <c r="F533" s="26" t="n">
        <v>0</v>
      </c>
    </row>
    <row r="534" customFormat="false" ht="15" hidden="false" customHeight="false" outlineLevel="0" collapsed="false">
      <c r="A534" s="10" t="s">
        <v>547</v>
      </c>
      <c r="C534" s="47" t="n">
        <f aca="false">(C531+C530-C533+Inputs!$B$60*C531/2-Inputs!$B$61*(C532-C533/2))/(1-Inputs!$B$60/2)</f>
        <v>33.4120792444686</v>
      </c>
      <c r="D534" s="47" t="n">
        <f aca="false">(D531+D530-D533+Inputs!$B$60*D531/2-Inputs!$B$61*(D532-D533/2))/(1-Inputs!$B$60/2)</f>
        <v>-7.59248248509922</v>
      </c>
      <c r="E534" s="47" t="n">
        <f aca="false">(E531+E530-E533+Inputs!$B$60*E531/2-Inputs!$B$61*(E532-E533/2))/(1-Inputs!$B$60/2)</f>
        <v>97.4623271852365</v>
      </c>
      <c r="F534" s="47" t="n">
        <f aca="false">(F531+F530-F533+Inputs!$B$60*F531/2-Inputs!$B$61*(F532-F533/2))/(1-Inputs!$B$60/2)</f>
        <v>379.981749229479</v>
      </c>
    </row>
    <row r="535" customFormat="false" ht="15" hidden="false" customHeight="false" outlineLevel="0" collapsed="false">
      <c r="A535" s="10" t="s">
        <v>548</v>
      </c>
      <c r="C535" s="47" t="n">
        <f aca="false">IF(C534&gt;=Inputs!$B$68,0,(Inputs!$B$68-C531-C530+C533-Inputs!$B$60*(C531+Inputs!$B$68)/2+Inputs!$B$61*(C532-C533/2))/(1-Inputs!$B$61*Inputs!$B$69/(2*(1-Inputs!$B$70))))</f>
        <v>0</v>
      </c>
      <c r="D535" s="47" t="n">
        <f aca="false">IF(D534&gt;=Inputs!$B$68,0,(Inputs!$B$68-D531-D530+D533-Inputs!$B$60*(D531+Inputs!$B$68)/2+Inputs!$B$61*(D532-D533/2))/(1-Inputs!$B$61*Inputs!$B$69/(2*(1-Inputs!$B$70))))</f>
        <v>22.8325276115034</v>
      </c>
      <c r="E535" s="47" t="n">
        <f aca="false">IF(E534&gt;=Inputs!$B$68,0,(Inputs!$B$68-E531-E530+E533-Inputs!$B$60*(E531+Inputs!$B$68)/2+Inputs!$B$61*(E532-E533/2))/(1-Inputs!$B$61*Inputs!$B$69/(2*(1-Inputs!$B$70))))</f>
        <v>0</v>
      </c>
      <c r="F535" s="47" t="n">
        <f aca="false">IF(F534&gt;=Inputs!$B$68,0,(Inputs!$B$68-F531-F530+F533-Inputs!$B$60*(F531+Inputs!$B$68)/2+Inputs!$B$61*(F532-F533/2))/(1-Inputs!$B$61*Inputs!$B$69/(2*(1-Inputs!$B$70))))</f>
        <v>0</v>
      </c>
    </row>
    <row r="536" customFormat="false" ht="15" hidden="false" customHeight="false" outlineLevel="0" collapsed="false">
      <c r="A536" s="10" t="s">
        <v>549</v>
      </c>
      <c r="C536" s="47" t="n">
        <f aca="false">C535/(1-Inputs!$B$70)</f>
        <v>0</v>
      </c>
      <c r="D536" s="47" t="n">
        <f aca="false">D535/(1-Inputs!$B$70)</f>
        <v>23.0631592035388</v>
      </c>
      <c r="E536" s="47" t="n">
        <f aca="false">E535/(1-Inputs!$B$70)</f>
        <v>0</v>
      </c>
      <c r="F536" s="47" t="n">
        <f aca="false">F535/(1-Inputs!$B$70)</f>
        <v>0</v>
      </c>
    </row>
    <row r="537" customFormat="false" ht="15" hidden="false" customHeight="false" outlineLevel="0" collapsed="false">
      <c r="A537" s="10" t="s">
        <v>550</v>
      </c>
      <c r="C537" s="47" t="n">
        <f aca="false">C536*Inputs!$B$69</f>
        <v>0</v>
      </c>
      <c r="D537" s="47" t="n">
        <f aca="false">D536*Inputs!$B$69</f>
        <v>23.0631592035388</v>
      </c>
      <c r="E537" s="47" t="n">
        <f aca="false">E536*Inputs!$B$69</f>
        <v>0</v>
      </c>
      <c r="F537" s="47" t="n">
        <f aca="false">F536*Inputs!$B$69</f>
        <v>0</v>
      </c>
    </row>
    <row r="538" customFormat="false" ht="15" hidden="false" customHeight="false" outlineLevel="0" collapsed="false">
      <c r="A538" s="10" t="s">
        <v>551</v>
      </c>
      <c r="C538" s="47" t="n">
        <f aca="false">C536-C537</f>
        <v>0</v>
      </c>
      <c r="D538" s="47" t="n">
        <f aca="false">D536-D537</f>
        <v>0</v>
      </c>
      <c r="E538" s="47" t="n">
        <f aca="false">E536-E537</f>
        <v>0</v>
      </c>
      <c r="F538" s="47" t="n">
        <f aca="false">F536-F537</f>
        <v>0</v>
      </c>
    </row>
    <row r="539" customFormat="false" ht="15" hidden="false" customHeight="false" outlineLevel="0" collapsed="false">
      <c r="A539" s="10" t="s">
        <v>552</v>
      </c>
      <c r="C539" s="47" t="n">
        <f aca="false">C536-C535</f>
        <v>0</v>
      </c>
      <c r="D539" s="47" t="n">
        <f aca="false">D536-D535</f>
        <v>0.230631592035387</v>
      </c>
      <c r="E539" s="47" t="n">
        <f aca="false">E536-E535</f>
        <v>0</v>
      </c>
      <c r="F539" s="47" t="n">
        <f aca="false">F536-F535</f>
        <v>0</v>
      </c>
    </row>
    <row r="540" customFormat="false" ht="15" hidden="false" customHeight="false" outlineLevel="0" collapsed="false">
      <c r="A540" s="10" t="s">
        <v>553</v>
      </c>
      <c r="C540" s="47" t="n">
        <f aca="false">Inputs!$B$60*(C531+C542)/2</f>
        <v>2.88651756478887</v>
      </c>
      <c r="D540" s="47" t="n">
        <f aca="false">Inputs!$B$60*(D531+D542)/2</f>
        <v>0.968241584889373</v>
      </c>
      <c r="E540" s="47" t="n">
        <f aca="false">Inputs!$B$60*(E531+E542)/2</f>
        <v>2.24924654370473</v>
      </c>
      <c r="F540" s="47" t="n">
        <f aca="false">Inputs!$B$60*(F531+F542)/2</f>
        <v>9.54888152829431</v>
      </c>
    </row>
    <row r="541" customFormat="false" ht="15" hidden="false" customHeight="false" outlineLevel="0" collapsed="false">
      <c r="A541" s="10" t="s">
        <v>554</v>
      </c>
      <c r="C541" s="47" t="n">
        <f aca="false">Inputs!$B$61*(C532-C533/2+C537/2)</f>
        <v>2.90202</v>
      </c>
      <c r="D541" s="47" t="n">
        <f aca="false">Inputs!$B$61*(D532-D533/2+D537/2)</f>
        <v>3.59391477610616</v>
      </c>
      <c r="E541" s="47" t="n">
        <f aca="false">Inputs!$B$61*(E532-E533/2+E537/2)</f>
        <v>4.28580955221233</v>
      </c>
      <c r="F541" s="47" t="n">
        <f aca="false">Inputs!$B$61*(F532-F533/2+F537/2)</f>
        <v>4.28580955221233</v>
      </c>
    </row>
    <row r="542" customFormat="false" ht="15" hidden="false" customHeight="false" outlineLevel="0" collapsed="false">
      <c r="A542" s="13" t="s">
        <v>555</v>
      </c>
      <c r="B542" s="47" t="n">
        <f aca="false">B62+B166</f>
        <v>110.913798994975</v>
      </c>
      <c r="C542" s="18" t="n">
        <f aca="false">IF(C535&gt;0,Inputs!$B$68,C534)</f>
        <v>33.4120792444686</v>
      </c>
      <c r="D542" s="18" t="n">
        <f aca="false">IF(D535&gt;0,Inputs!$B$68,D534)</f>
        <v>15</v>
      </c>
      <c r="E542" s="18" t="n">
        <f aca="false">IF(E535&gt;0,Inputs!$B$68,E534)</f>
        <v>97.4623271852365</v>
      </c>
      <c r="F542" s="18" t="n">
        <f aca="false">IF(F535&gt;0,Inputs!$B$68,F534)</f>
        <v>379.981749229479</v>
      </c>
    </row>
    <row r="543" customFormat="false" ht="15" hidden="false" customHeight="false" outlineLevel="0" collapsed="false">
      <c r="A543" s="10" t="s">
        <v>556</v>
      </c>
      <c r="B543" s="47" t="n">
        <f aca="false">B63+B167</f>
        <v>48.367</v>
      </c>
      <c r="C543" s="47" t="n">
        <f aca="false">C532-C533+C537</f>
        <v>48.367</v>
      </c>
      <c r="D543" s="47" t="n">
        <f aca="false">D532-D533+D537</f>
        <v>71.4301592035388</v>
      </c>
      <c r="E543" s="47" t="n">
        <f aca="false">E532-E533+E537</f>
        <v>71.4301592035388</v>
      </c>
      <c r="F543" s="47" t="n">
        <f aca="false">F532-F533+F537</f>
        <v>71.4301592035388</v>
      </c>
    </row>
    <row r="544" customFormat="false" ht="15" hidden="false" customHeight="false" outlineLevel="0" collapsed="false">
      <c r="A544" s="13" t="s">
        <v>557</v>
      </c>
      <c r="B544" s="18" t="n">
        <f aca="false">B542-B543</f>
        <v>62.5467989949749</v>
      </c>
      <c r="C544" s="18" t="n">
        <f aca="false">C542-C543</f>
        <v>-14.9549207555314</v>
      </c>
      <c r="D544" s="18" t="n">
        <f aca="false">D542-D543</f>
        <v>-56.4301592035388</v>
      </c>
      <c r="E544" s="18" t="n">
        <f aca="false">E542-E543</f>
        <v>26.0321679816977</v>
      </c>
      <c r="F544" s="18" t="n">
        <f aca="false">F542-F543</f>
        <v>308.55159002594</v>
      </c>
    </row>
    <row r="545" customFormat="false" ht="15" hidden="false" customHeight="false" outlineLevel="0" collapsed="false">
      <c r="A545" s="10" t="s">
        <v>558</v>
      </c>
      <c r="C545" s="33" t="n">
        <f aca="false">ROUND(C531+C530-C533+C540-C541+C535-C542,6)</f>
        <v>0</v>
      </c>
      <c r="D545" s="33" t="n">
        <f aca="false">ROUND(D531+D530-D533+D540-D541+D535-D542,6)</f>
        <v>0</v>
      </c>
      <c r="E545" s="33" t="n">
        <f aca="false">ROUND(E531+E530-E533+E540-E541+E535-E542,6)</f>
        <v>0</v>
      </c>
      <c r="F545" s="33" t="n">
        <f aca="false">ROUND(F531+F530-F533+F540-F541+F535-F542,6)</f>
        <v>0</v>
      </c>
    </row>
    <row r="546" customFormat="false" ht="15" hidden="false" customHeight="false" outlineLevel="0" collapsed="false">
      <c r="A546" s="10" t="s">
        <v>559</v>
      </c>
      <c r="B546" s="47" t="n">
        <f aca="false">B66+B170</f>
        <v>0</v>
      </c>
      <c r="C546" s="47" t="n">
        <f aca="false">B546+C536</f>
        <v>0</v>
      </c>
      <c r="D546" s="47" t="n">
        <f aca="false">C546+D536</f>
        <v>23.0631592035388</v>
      </c>
      <c r="E546" s="47" t="n">
        <f aca="false">D546+E536</f>
        <v>23.0631592035388</v>
      </c>
      <c r="F546" s="47" t="n">
        <f aca="false">E546+F536</f>
        <v>23.0631592035388</v>
      </c>
    </row>
    <row r="547" customFormat="false" ht="15" hidden="false" customHeight="false" outlineLevel="0" collapsed="false">
      <c r="A547" s="10" t="s">
        <v>560</v>
      </c>
      <c r="C547" s="49" t="str">
        <f aca="false">IF(C546&gt;Inputs!$B$74,"UNFUNDED: above limit",IF(C536&gt;0,"Raising","OK"))</f>
        <v>OK</v>
      </c>
      <c r="D547" s="49" t="str">
        <f aca="false">IF(D546&gt;Inputs!$B$74,"UNFUNDED: above limit",IF(D536&gt;0,"Raising","OK"))</f>
        <v>Raising</v>
      </c>
      <c r="E547" s="49" t="str">
        <f aca="false">IF(E546&gt;Inputs!$B$74,"UNFUNDED: above limit",IF(E536&gt;0,"Raising","OK"))</f>
        <v>OK</v>
      </c>
      <c r="F547" s="49" t="str">
        <f aca="false">IF(F546&gt;Inputs!$B$74,"UNFUNDED: above limit",IF(F536&gt;0,"Raising","OK"))</f>
        <v>OK</v>
      </c>
    </row>
    <row r="549" customFormat="false" ht="15" hidden="false" customHeight="false" outlineLevel="0" collapsed="false">
      <c r="A549" s="8" t="s">
        <v>657</v>
      </c>
      <c r="B549" s="9"/>
      <c r="C549" s="9"/>
      <c r="D549" s="9" t="s">
        <v>379</v>
      </c>
      <c r="E549" s="9" t="s">
        <v>426</v>
      </c>
      <c r="F549" s="9" t="s">
        <v>658</v>
      </c>
    </row>
    <row r="550" customFormat="false" ht="15" hidden="false" customHeight="false" outlineLevel="0" collapsed="false">
      <c r="A550" s="10" t="s">
        <v>659</v>
      </c>
      <c r="D550" s="16" t="n">
        <f aca="false">$B$68</f>
        <v>261.540937827695</v>
      </c>
      <c r="E550" s="16" t="n">
        <f aca="false">$B$172</f>
        <v>63.938993689388</v>
      </c>
      <c r="F550" s="47" t="n">
        <f aca="false">$F$504</f>
        <v>350.543558726707</v>
      </c>
    </row>
    <row r="551" customFormat="false" ht="15" hidden="false" customHeight="false" outlineLevel="0" collapsed="false">
      <c r="A551" s="10" t="s">
        <v>660</v>
      </c>
      <c r="D551" s="16" t="n">
        <f aca="false">$B$70</f>
        <v>198.352647248524</v>
      </c>
      <c r="E551" s="16" t="n">
        <f aca="false">$B$174</f>
        <v>48.4913328140319</v>
      </c>
      <c r="F551" s="47" t="n">
        <f aca="false">D551+E551+($F$447+$F$493)*(1-Inputs!$B$79)</f>
        <v>265.852234938334</v>
      </c>
    </row>
    <row r="552" customFormat="false" ht="15" hidden="false" customHeight="false" outlineLevel="0" collapsed="false">
      <c r="A552" s="10" t="s">
        <v>661</v>
      </c>
      <c r="D552" s="50" t="n">
        <f aca="false">$B$71</f>
        <v>45</v>
      </c>
      <c r="E552" s="50" t="n">
        <f aca="false">$B$175</f>
        <v>60</v>
      </c>
      <c r="F552" s="48" t="n">
        <f aca="false">IFERROR(F553/(F551*$F$527),0)</f>
        <v>46.3060070560454</v>
      </c>
    </row>
    <row r="553" customFormat="false" ht="15" hidden="false" customHeight="false" outlineLevel="0" collapsed="false">
      <c r="A553" s="10" t="s">
        <v>662</v>
      </c>
      <c r="D553" s="16" t="n">
        <f aca="false">$B$72</f>
        <v>5879.74646458168</v>
      </c>
      <c r="E553" s="16" t="n">
        <f aca="false">$B$176</f>
        <v>1916.5645741306</v>
      </c>
      <c r="F553" s="47" t="n">
        <f aca="false">D553+E553+($F$447+$F$493)*(1-Inputs!$B$79)*Inputs!$B$30*$F$527</f>
        <v>8109.34419499023</v>
      </c>
    </row>
    <row r="554" customFormat="false" ht="15" hidden="false" customHeight="false" outlineLevel="0" collapsed="false">
      <c r="A554" s="10" t="s">
        <v>663</v>
      </c>
      <c r="D554" s="16" t="n">
        <f aca="false">$B$73</f>
        <v>-42.3960114679874</v>
      </c>
      <c r="E554" s="16" t="n">
        <f aca="false">$B$177</f>
        <v>16.6769634011349</v>
      </c>
      <c r="F554" s="47" t="n">
        <f aca="false">SUMPRODUCT($C$508:$F$508,$C$527:$F$527)</f>
        <v>25.5046197833408</v>
      </c>
    </row>
    <row r="555" customFormat="false" ht="15" hidden="false" customHeight="false" outlineLevel="0" collapsed="false">
      <c r="A555" s="13" t="s">
        <v>567</v>
      </c>
      <c r="D555" s="16" t="n">
        <f aca="false">$B$74</f>
        <v>5837.35045311369</v>
      </c>
      <c r="E555" s="16" t="n">
        <f aca="false">$B$178</f>
        <v>1933.24153753173</v>
      </c>
      <c r="F555" s="18" t="n">
        <f aca="false">F553+F554</f>
        <v>8134.84881477357</v>
      </c>
    </row>
    <row r="556" customFormat="false" ht="15" hidden="false" customHeight="false" outlineLevel="0" collapsed="false">
      <c r="A556" s="10" t="s">
        <v>664</v>
      </c>
      <c r="D556" s="16" t="n">
        <f aca="false">$B$75</f>
        <v>127.938700650653</v>
      </c>
      <c r="E556" s="16" t="n">
        <f aca="false">$B$179</f>
        <v>27.0035049321439</v>
      </c>
      <c r="F556" s="47" t="n">
        <f aca="false">D556+E556+$B$451+$B$497</f>
        <v>183.582216565041</v>
      </c>
    </row>
    <row r="557" customFormat="false" ht="15" hidden="false" customHeight="false" outlineLevel="0" collapsed="false">
      <c r="A557" s="10" t="s">
        <v>665</v>
      </c>
      <c r="D557" s="50" t="n">
        <f aca="false">$B$76</f>
        <v>38</v>
      </c>
      <c r="E557" s="50" t="n">
        <f aca="false">$B$180</f>
        <v>48</v>
      </c>
      <c r="F557" s="48" t="n">
        <f aca="false">IFERROR(F558/(F556*$F$527),0)</f>
        <v>36.662805401568</v>
      </c>
    </row>
    <row r="558" customFormat="false" ht="15" hidden="false" customHeight="false" outlineLevel="0" collapsed="false">
      <c r="A558" s="10" t="s">
        <v>666</v>
      </c>
      <c r="D558" s="16" t="n">
        <f aca="false">$B$77</f>
        <v>3202.53302659711</v>
      </c>
      <c r="E558" s="16" t="n">
        <f aca="false">$B$181</f>
        <v>853.826165245461</v>
      </c>
      <c r="F558" s="47" t="n">
        <f aca="false">D558+E558+($B$451+$B$497)*Inputs!$B$31*$F$527</f>
        <v>4433.68043851971</v>
      </c>
    </row>
    <row r="559" customFormat="false" ht="15" hidden="false" customHeight="false" outlineLevel="0" collapsed="false">
      <c r="A559" s="13" t="s">
        <v>571</v>
      </c>
      <c r="D559" s="16" t="n">
        <f aca="false">$B$78</f>
        <v>3160.13701512912</v>
      </c>
      <c r="E559" s="16" t="n">
        <f aca="false">$B$182</f>
        <v>870.503128646596</v>
      </c>
      <c r="F559" s="18" t="n">
        <f aca="false">F554+F558</f>
        <v>4459.18505830305</v>
      </c>
    </row>
    <row r="560" customFormat="false" ht="15" hidden="false" customHeight="false" outlineLevel="0" collapsed="false">
      <c r="A560" s="10" t="s">
        <v>572</v>
      </c>
      <c r="D560" s="47" t="n">
        <f aca="false">$B$79</f>
        <v>4498.7437341214</v>
      </c>
      <c r="E560" s="47" t="n">
        <f aca="false">$B$183</f>
        <v>1401.87233308916</v>
      </c>
      <c r="F560" s="47" t="n">
        <f aca="false">F555*Inputs!$B$7+F559*(1-Inputs!$B$7)</f>
        <v>6297.01693653831</v>
      </c>
    </row>
    <row r="561" customFormat="false" ht="15" hidden="false" customHeight="false" outlineLevel="0" collapsed="false">
      <c r="A561" s="10" t="s">
        <v>667</v>
      </c>
      <c r="D561" s="26" t="n">
        <v>0</v>
      </c>
      <c r="E561" s="26" t="n">
        <v>0</v>
      </c>
      <c r="F561" s="47" t="n">
        <f aca="false">Inputs!$B$9*(D560+E560)</f>
        <v>0</v>
      </c>
    </row>
    <row r="562" customFormat="false" ht="15" hidden="false" customHeight="false" outlineLevel="0" collapsed="false">
      <c r="A562" s="13" t="s">
        <v>668</v>
      </c>
      <c r="D562" s="18" t="n">
        <f aca="false">$B$79</f>
        <v>4498.7437341214</v>
      </c>
      <c r="E562" s="18" t="n">
        <f aca="false">$B$183</f>
        <v>1401.87233308916</v>
      </c>
      <c r="F562" s="18" t="n">
        <f aca="false">F560+F561</f>
        <v>6297.01693653831</v>
      </c>
    </row>
    <row r="563" customFormat="false" ht="15" hidden="false" customHeight="false" outlineLevel="0" collapsed="false">
      <c r="A563" s="10" t="s">
        <v>669</v>
      </c>
      <c r="D563" s="49" t="str">
        <f aca="false">IFERROR(TEXT(D553/D555,"0%")&amp;" / "&amp;TEXT(D558/D559,"0%"),"n/a")</f>
        <v>101% / 101%</v>
      </c>
      <c r="E563" s="49" t="str">
        <f aca="false">IFERROR(TEXT(E553/E555,"0%")&amp;" / "&amp;TEXT(E558/E559,"0%"),"n/a")</f>
        <v>99% / 98%</v>
      </c>
      <c r="F563" s="49" t="str">
        <f aca="false">IFERROR(TEXT(F553/F555,"0%")&amp;" / "&amp;TEXT(F558/F559,"0%"),"n/a")</f>
        <v>100% / 99%</v>
      </c>
    </row>
    <row r="564" customFormat="false" ht="15" hidden="false" customHeight="false" outlineLevel="0" collapsed="false">
      <c r="A564" s="10" t="s">
        <v>670</v>
      </c>
      <c r="D564" s="16" t="n">
        <f aca="false">$B$97</f>
        <v>0</v>
      </c>
      <c r="E564" s="16" t="n">
        <f aca="false">$B$201</f>
        <v>0</v>
      </c>
      <c r="F564" s="47" t="n">
        <f aca="false">D564+E564</f>
        <v>0</v>
      </c>
    </row>
    <row r="565" customFormat="false" ht="15" hidden="false" customHeight="false" outlineLevel="0" collapsed="false">
      <c r="A565" s="10" t="s">
        <v>671</v>
      </c>
      <c r="D565" s="16" t="n">
        <f aca="false">$B$98</f>
        <v>29.1737035175879</v>
      </c>
      <c r="E565" s="16" t="n">
        <f aca="false">$B$202</f>
        <v>33.3730954773869</v>
      </c>
      <c r="F565" s="47" t="n">
        <f aca="false">$B$523</f>
        <v>62.5467989949749</v>
      </c>
    </row>
    <row r="566" customFormat="false" ht="15" hidden="false" customHeight="false" outlineLevel="0" collapsed="false">
      <c r="A566" s="10" t="s">
        <v>672</v>
      </c>
      <c r="D566" s="16" t="n">
        <f aca="false">$B$99</f>
        <v>0</v>
      </c>
      <c r="E566" s="16" t="n">
        <f aca="false">$B$203</f>
        <v>6.18797520749616</v>
      </c>
      <c r="F566" s="26" t="n">
        <v>0</v>
      </c>
    </row>
    <row r="567" customFormat="false" ht="15" hidden="false" customHeight="false" outlineLevel="0" collapsed="false">
      <c r="A567" s="10" t="s">
        <v>673</v>
      </c>
      <c r="D567" s="16" t="n">
        <f aca="false">$B$100</f>
        <v>0.658925614281011</v>
      </c>
      <c r="E567" s="16" t="n">
        <f aca="false">$B$204</f>
        <v>0</v>
      </c>
      <c r="F567" s="47" t="n">
        <f aca="false">SUMPRODUCT($C$518:$F$518,$C$527:$F$527)</f>
        <v>0.114881595729574</v>
      </c>
    </row>
    <row r="568" customFormat="false" ht="15" hidden="false" customHeight="false" outlineLevel="0" collapsed="false">
      <c r="A568" s="13" t="s">
        <v>674</v>
      </c>
      <c r="D568" s="16" t="n">
        <f aca="false">$B$101</f>
        <v>4527.25851202471</v>
      </c>
      <c r="E568" s="16" t="n">
        <f aca="false">$B$205</f>
        <v>1441.43340377405</v>
      </c>
      <c r="F568" s="18" t="n">
        <f aca="false">F562+F564+F565-F567</f>
        <v>6359.44885393756</v>
      </c>
    </row>
    <row r="569" customFormat="false" ht="15" hidden="false" customHeight="false" outlineLevel="0" collapsed="false">
      <c r="A569" s="10" t="s">
        <v>675</v>
      </c>
      <c r="D569" s="20" t="n">
        <f aca="false">$B$102</f>
        <v>14.1934659057591</v>
      </c>
      <c r="E569" s="20" t="n">
        <f aca="false">$B$206</f>
        <v>3.967329173</v>
      </c>
      <c r="F569" s="25" t="n">
        <f aca="false">Deal!$B$19+$B$104+$B$208*Deal!$B$10</f>
        <v>26.2650455921569</v>
      </c>
    </row>
    <row r="570" customFormat="false" ht="15" hidden="false" customHeight="false" outlineLevel="0" collapsed="false">
      <c r="A570" s="10" t="s">
        <v>676</v>
      </c>
      <c r="D570" s="20" t="n">
        <f aca="false">$B$107</f>
        <v>0</v>
      </c>
      <c r="E570" s="20" t="n">
        <f aca="false">$B$211</f>
        <v>0</v>
      </c>
      <c r="F570" s="25" t="n">
        <f aca="false">IFERROR(F571/(F568/F569*(1-Inputs!$B$71)),0)</f>
        <v>0</v>
      </c>
    </row>
    <row r="571" customFormat="false" ht="15" hidden="false" customHeight="false" outlineLevel="0" collapsed="false">
      <c r="A571" s="10" t="s">
        <v>677</v>
      </c>
      <c r="D571" s="16" t="n">
        <f aca="false">$B$106</f>
        <v>0</v>
      </c>
      <c r="E571" s="16" t="n">
        <f aca="false">$B$210</f>
        <v>0</v>
      </c>
      <c r="F571" s="47" t="n">
        <f aca="false">SUMPRODUCT($C$517:$F$517,$C$527:$F$527)</f>
        <v>0</v>
      </c>
    </row>
    <row r="572" customFormat="false" ht="15" hidden="false" customHeight="false" outlineLevel="0" collapsed="false">
      <c r="A572" s="10" t="s">
        <v>600</v>
      </c>
      <c r="D572" s="17" t="str">
        <f aca="false">$B$109</f>
        <v>OK</v>
      </c>
      <c r="E572" s="17" t="str">
        <f aca="false">$B$213</f>
        <v>OK</v>
      </c>
      <c r="F572" s="49" t="str">
        <f aca="false">IF($F$525&gt;Inputs!$B$74,"Not meaningful: funding need above limit",IF(OR(F551&lt;=0,F556&lt;=0),"Not meaningful: 2030 profit or cash flow negative",IF(OR(F555&lt;=0,F559&lt;=0),"Not meaningful: a method gives zero or negative value",IF(F568&lt;=0,"Not meaningful: value at or below zero","OK"))))</f>
        <v>OK</v>
      </c>
    </row>
    <row r="573" customFormat="false" ht="15" hidden="false" customHeight="false" outlineLevel="0" collapsed="false">
      <c r="A573" s="13" t="s">
        <v>678</v>
      </c>
      <c r="D573" s="14" t="n">
        <f aca="false">$B$110</f>
        <v>318.967794200833</v>
      </c>
      <c r="E573" s="14" t="n">
        <f aca="false">$B$214</f>
        <v>363.325890269919</v>
      </c>
      <c r="F573" s="15" t="n">
        <f aca="false">IF(F572="OK",(F568+F571)/(F569+F570),"unresolved")</f>
        <v>242.12594003022</v>
      </c>
    </row>
    <row r="574" customFormat="false" ht="15" hidden="false" customHeight="false" outlineLevel="0" collapsed="false">
      <c r="A574" s="10" t="s">
        <v>602</v>
      </c>
      <c r="D574" s="47" t="n">
        <f aca="false">$B$111</f>
        <v>4527.25851202471</v>
      </c>
      <c r="E574" s="47" t="n">
        <f aca="false">$B$215</f>
        <v>1441.43340377405</v>
      </c>
      <c r="F574" s="47" t="n">
        <f aca="false">IF(ISNUMBER(F573),F573*F569,"unresolved")</f>
        <v>6359.44885393756</v>
      </c>
    </row>
    <row r="575" customFormat="false" ht="15" hidden="false" customHeight="false" outlineLevel="0" collapsed="false">
      <c r="A575" s="10" t="s">
        <v>679</v>
      </c>
      <c r="D575" s="16" t="n">
        <f aca="false">$B$112</f>
        <v>0</v>
      </c>
      <c r="E575" s="16" t="n">
        <f aca="false">$B$216</f>
        <v>0</v>
      </c>
      <c r="F575" s="47" t="n">
        <f aca="false">IFERROR(F568-F574,"n/a")</f>
        <v>0</v>
      </c>
    </row>
    <row r="576" customFormat="false" ht="15" hidden="false" customHeight="false" outlineLevel="0" collapsed="false">
      <c r="A576" s="10" t="s">
        <v>680</v>
      </c>
      <c r="D576" s="32" t="n">
        <f aca="false">IF(ISNUMBER(D573),(D555+D561+(D564+D565+D566-D567+D571))/(D569+D570),"unresolved")</f>
        <v>413.279270191284</v>
      </c>
      <c r="E576" s="32" t="n">
        <f aca="false">IF(ISNUMBER(E573),(E555+E561+(E564+E565+E566-E567+E571))/(E569+E570),"unresolved")</f>
        <v>497.262143419481</v>
      </c>
      <c r="F576" s="32" t="n">
        <f aca="false">IF(ISNUMBER(F573),(F555+F561+(F564+F565+F566-F567+F571))/(F569+F570),"unresolved")</f>
        <v>312.098477172286</v>
      </c>
    </row>
    <row r="577" customFormat="false" ht="15" hidden="false" customHeight="false" outlineLevel="0" collapsed="false">
      <c r="A577" s="10" t="s">
        <v>681</v>
      </c>
      <c r="D577" s="32" t="n">
        <f aca="false">IF(ISNUMBER(D573),(D559+D561+(D564+D565+D566-D567+D571))/(D569+D570),"unresolved")</f>
        <v>224.656318210382</v>
      </c>
      <c r="E577" s="32" t="n">
        <f aca="false">IF(ISNUMBER(E573),(E559+E561+(E564+E565+E566-E567+E571))/(E569+E570),"unresolved")</f>
        <v>229.389637120358</v>
      </c>
      <c r="F577" s="32" t="n">
        <f aca="false">IF(ISNUMBER(F573),(F559+F561+(F564+F565+F566-F567+F571))/(F569+F570),"unresolved")</f>
        <v>172.153402888153</v>
      </c>
    </row>
    <row r="578" customFormat="false" ht="15" hidden="false" customHeight="false" outlineLevel="0" collapsed="false">
      <c r="A578" s="10" t="s">
        <v>682</v>
      </c>
      <c r="D578" s="14" t="n">
        <f aca="false">Inputs!$B$12</f>
        <v>147.49</v>
      </c>
      <c r="E578" s="14" t="n">
        <f aca="false">Inputs!$B$13</f>
        <v>374.58</v>
      </c>
    </row>
    <row r="579" customFormat="false" ht="15" hidden="false" customHeight="false" outlineLevel="0" collapsed="false">
      <c r="A579" s="10" t="s">
        <v>683</v>
      </c>
      <c r="D579" s="19" t="n">
        <f aca="false">IFERROR(D573/D578-1,"n/a")</f>
        <v>1.16264013967613</v>
      </c>
      <c r="E579" s="19" t="n">
        <f aca="false">IFERROR(E573/E578-1,"n/a")</f>
        <v>-0.030044609242567</v>
      </c>
    </row>
    <row r="580" customFormat="false" ht="15" hidden="false" customHeight="false" outlineLevel="0" collapsed="false">
      <c r="A580" s="10" t="s">
        <v>684</v>
      </c>
      <c r="E580" s="32" t="n">
        <f aca="false">$B$223/$B$206</f>
        <v>228.795688296719</v>
      </c>
    </row>
    <row r="581" customFormat="false" ht="15" hidden="false" customHeight="false" outlineLevel="0" collapsed="false">
      <c r="A581" s="10" t="s">
        <v>685</v>
      </c>
      <c r="E581" s="32" t="n">
        <f aca="false">IFERROR(E573-E580,"unresolved")</f>
        <v>134.5302019732</v>
      </c>
    </row>
    <row r="582" customFormat="false" ht="15" hidden="false" customHeight="false" outlineLevel="0" collapsed="false">
      <c r="A582" s="10" t="s">
        <v>686</v>
      </c>
      <c r="E582" s="14" t="n">
        <f aca="false">$B$325</f>
        <v>125.417632108</v>
      </c>
    </row>
    <row r="583" customFormat="false" ht="15" hidden="false" customHeight="false" outlineLevel="0" collapsed="false">
      <c r="A583" s="10" t="s">
        <v>687</v>
      </c>
      <c r="E583" s="20" t="n">
        <f aca="false">Inputs!$D$151</f>
        <v>1.04730458460573</v>
      </c>
    </row>
    <row r="584" customFormat="false" ht="15" hidden="false" customHeight="false" outlineLevel="0" collapsed="false">
      <c r="A584" s="10" t="s">
        <v>688</v>
      </c>
      <c r="E584" s="47" t="n">
        <f aca="false">IF(AND(ISNUMBER(E586),ABS(N(E586))&lt;0.5),$F$333,"no solution")</f>
        <v>83.7843667684584</v>
      </c>
    </row>
    <row r="585" customFormat="false" ht="15" hidden="false" customHeight="false" outlineLevel="0" collapsed="false">
      <c r="A585" s="10" t="s">
        <v>689</v>
      </c>
      <c r="E585" s="14" t="n">
        <f aca="false">$B$429</f>
        <v>374.580001480983</v>
      </c>
    </row>
    <row r="586" customFormat="false" ht="15" hidden="false" customHeight="false" outlineLevel="0" collapsed="false">
      <c r="A586" s="10" t="s">
        <v>690</v>
      </c>
      <c r="E586" s="32" t="n">
        <f aca="false">IFERROR(E585-E578,"n/a")</f>
        <v>1.48098325780666E-006</v>
      </c>
    </row>
    <row r="587" customFormat="false" ht="15" hidden="false" customHeight="false" outlineLevel="0" collapsed="false">
      <c r="A587" s="10" t="s">
        <v>691</v>
      </c>
      <c r="F587" s="32" t="n">
        <f aca="false">IFERROR(F573*Deal!$B$10,"unresolved")</f>
        <v>737.912004473683</v>
      </c>
    </row>
    <row r="588" customFormat="false" ht="15" hidden="false" customHeight="false" outlineLevel="0" collapsed="false">
      <c r="A588" s="13" t="s">
        <v>692</v>
      </c>
      <c r="F588" s="12" t="n">
        <f aca="false">IFERROR(F573/D573-1,"unresolved")</f>
        <v>-0.240907877120131</v>
      </c>
    </row>
    <row r="589" customFormat="false" ht="15" hidden="false" customHeight="false" outlineLevel="0" collapsed="false">
      <c r="A589" s="13" t="s">
        <v>693</v>
      </c>
      <c r="F589" s="12" t="n">
        <f aca="false">IFERROR(F587/E573-1,"unresolved")</f>
        <v>1.03099207690781</v>
      </c>
    </row>
    <row r="590" customFormat="false" ht="15" hidden="false" customHeight="false" outlineLevel="0" collapsed="false">
      <c r="A590" s="10" t="s">
        <v>694</v>
      </c>
      <c r="F590" s="47" t="n">
        <f aca="false">$B$454</f>
        <v>396.911975768448</v>
      </c>
    </row>
    <row r="591" customFormat="false" ht="15" hidden="false" customHeight="false" outlineLevel="0" collapsed="false">
      <c r="A591" s="10" t="s">
        <v>695</v>
      </c>
      <c r="F591" s="47" t="n">
        <f aca="false">$B$500</f>
        <v>-0.511106440703309</v>
      </c>
    </row>
    <row r="592" customFormat="false" ht="15" hidden="false" customHeight="false" outlineLevel="0" collapsed="false">
      <c r="A592" s="10" t="s">
        <v>696</v>
      </c>
      <c r="F592" s="47" t="n">
        <f aca="false">$B$477</f>
        <v>280.648180124445</v>
      </c>
    </row>
    <row r="593" customFormat="false" ht="15" hidden="false" customHeight="false" outlineLevel="0" collapsed="false">
      <c r="A593" s="10" t="s">
        <v>697</v>
      </c>
      <c r="F593" s="47" t="n">
        <f aca="false">$F$546</f>
        <v>23.0631592035388</v>
      </c>
    </row>
    <row r="594" customFormat="false" ht="15" hidden="false" customHeight="false" outlineLevel="0" collapsed="false">
      <c r="A594" s="10" t="s">
        <v>698</v>
      </c>
      <c r="F594" s="47" t="n">
        <f aca="false">F551-($F$447-$F$470)*(1-Inputs!$B$79)</f>
        <v>259.994329868408</v>
      </c>
    </row>
    <row r="595" customFormat="false" ht="15" hidden="false" customHeight="false" outlineLevel="0" collapsed="false">
      <c r="A595" s="10" t="s">
        <v>699</v>
      </c>
      <c r="F595" s="47" t="n">
        <f aca="false">F556-$B$451+$B$474</f>
        <v>175.774496612725</v>
      </c>
    </row>
    <row r="596" customFormat="false" ht="15" hidden="false" customHeight="false" outlineLevel="0" collapsed="false">
      <c r="A596" s="10" t="s">
        <v>700</v>
      </c>
      <c r="F596" s="47" t="n">
        <f aca="false">F555-$B$452+$B$475</f>
        <v>8021.78209491546</v>
      </c>
    </row>
    <row r="597" customFormat="false" ht="15" hidden="false" customHeight="false" outlineLevel="0" collapsed="false">
      <c r="A597" s="10" t="s">
        <v>701</v>
      </c>
      <c r="F597" s="47" t="n">
        <f aca="false">F559-$B$453+$B$476</f>
        <v>4339.72418687316</v>
      </c>
    </row>
    <row r="598" customFormat="false" ht="15" hidden="false" customHeight="false" outlineLevel="0" collapsed="false">
      <c r="A598" s="10" t="s">
        <v>702</v>
      </c>
      <c r="F598" s="47" t="n">
        <f aca="false">F562-F590+F592+F564+$B$544-SUMPRODUCT($C$539:$F$539,$C$527:$F$527)</f>
        <v>6243.11275411538</v>
      </c>
    </row>
    <row r="599" customFormat="false" ht="15" hidden="false" customHeight="false" outlineLevel="0" collapsed="false">
      <c r="A599" s="10" t="s">
        <v>703</v>
      </c>
      <c r="F599" s="49" t="str">
        <f aca="false">IF(F593&gt;Inputs!$B$74,"Not meaningful: funding need above limit",IF(OR(F594&lt;=0,F595&lt;=0),"Not meaningful: 2030 profit or cash flow negative",IF(OR(F596&lt;=0,F597&lt;=0),"Not meaningful: a method gives zero or negative value",IF(F598&lt;=0,"Not meaningful: value at or below zero","OK"))))</f>
        <v>OK</v>
      </c>
    </row>
    <row r="600" customFormat="false" ht="15" hidden="false" customHeight="false" outlineLevel="0" collapsed="false">
      <c r="A600" s="10" t="s">
        <v>704</v>
      </c>
      <c r="F600" s="32" t="n">
        <f aca="false">IF(F599="OK",(F598+SUMPRODUCT($C$538:$F$538,$C$527:$F$527))/(F569+IFERROR(SUMPRODUCT($C$538:$F$538,$C$527:$F$527)/(F598/F569*(1-Inputs!$B$71)),0)),"unresolved")</f>
        <v>237.696627337272</v>
      </c>
    </row>
    <row r="601" customFormat="false" ht="15" hidden="false" customHeight="false" outlineLevel="0" collapsed="false">
      <c r="A601" s="10" t="s">
        <v>705</v>
      </c>
      <c r="F601" s="47" t="n">
        <f aca="false">IFERROR(D574*F569/D569-(D574+E574-E566),"unresolved")</f>
        <v>2415.19971652333</v>
      </c>
    </row>
    <row r="603" customFormat="false" ht="15" hidden="false" customHeight="false" outlineLevel="0" collapsed="false">
      <c r="A603" s="6" t="s">
        <v>706</v>
      </c>
    </row>
    <row r="604" customFormat="false" ht="15" hidden="false" customHeight="false" outlineLevel="0" collapsed="false">
      <c r="A604" s="6" t="s">
        <v>707</v>
      </c>
    </row>
    <row r="605" customFormat="false" ht="15" hidden="false" customHeight="false" outlineLevel="0" collapsed="false">
      <c r="A605" s="6" t="s">
        <v>708</v>
      </c>
    </row>
    <row r="606" customFormat="false" ht="15" hidden="false" customHeight="false" outlineLevel="0" collapsed="false">
      <c r="A606" s="6" t="s">
        <v>709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6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7" min="2" style="0" width="14"/>
  </cols>
  <sheetData>
    <row r="1" customFormat="false" ht="17.35" hidden="false" customHeight="false" outlineLevel="0" collapsed="false">
      <c r="A1" s="5" t="s">
        <v>712</v>
      </c>
    </row>
    <row r="2" customFormat="false" ht="15" hidden="false" customHeight="false" outlineLevel="0" collapsed="false">
      <c r="A2" s="6" t="s">
        <v>493</v>
      </c>
    </row>
    <row r="4" customFormat="false" ht="15" hidden="false" customHeight="false" outlineLevel="0" collapsed="false">
      <c r="A4" s="8" t="s">
        <v>494</v>
      </c>
      <c r="B4" s="9" t="s">
        <v>495</v>
      </c>
      <c r="C4" s="9" t="s">
        <v>496</v>
      </c>
      <c r="D4" s="9" t="s">
        <v>497</v>
      </c>
      <c r="E4" s="9" t="s">
        <v>498</v>
      </c>
      <c r="F4" s="9" t="s">
        <v>499</v>
      </c>
    </row>
    <row r="5" customFormat="false" ht="15" hidden="false" customHeight="false" outlineLevel="0" collapsed="false">
      <c r="A5" s="10" t="s">
        <v>134</v>
      </c>
      <c r="B5" s="47" t="n">
        <f aca="false">Historicals!$C$5+Inputs!$E$87</f>
        <v>18.396</v>
      </c>
      <c r="C5" s="47" t="n">
        <f aca="false">B5*(1+Inputs!$E$92)</f>
        <v>22.995</v>
      </c>
      <c r="D5" s="47" t="n">
        <f aca="false">C5*(1+Inputs!$E$93)</f>
        <v>27.1341</v>
      </c>
      <c r="E5" s="47" t="n">
        <f aca="false">D5*(1+Inputs!$E$94)</f>
        <v>30.932874</v>
      </c>
      <c r="F5" s="47" t="n">
        <f aca="false">E5*(1+Inputs!$E$95)</f>
        <v>34.0261614</v>
      </c>
    </row>
    <row r="6" customFormat="false" ht="15" hidden="false" customHeight="false" outlineLevel="0" collapsed="false">
      <c r="A6" s="10" t="s">
        <v>500</v>
      </c>
      <c r="B6" s="47" t="n">
        <f aca="false">Historicals!$C$6+Inputs!$E$88</f>
        <v>23.939</v>
      </c>
      <c r="C6" s="47" t="n">
        <f aca="false">B6*(1+Inputs!$E$96)</f>
        <v>59.8475</v>
      </c>
      <c r="D6" s="47" t="n">
        <f aca="false">C6*(1+Inputs!$E$97)</f>
        <v>77.80175</v>
      </c>
      <c r="E6" s="47" t="n">
        <f aca="false">D6*(1+Inputs!$E$98)</f>
        <v>93.3621</v>
      </c>
      <c r="F6" s="47" t="n">
        <f aca="false">E6*(1+Inputs!$E$99)</f>
        <v>107.366415</v>
      </c>
    </row>
    <row r="7" customFormat="false" ht="15" hidden="false" customHeight="false" outlineLevel="0" collapsed="false">
      <c r="A7" s="10" t="s">
        <v>135</v>
      </c>
      <c r="B7" s="47" t="n">
        <f aca="false">Historicals!$C$7+Inputs!$E$89</f>
        <v>5.048</v>
      </c>
      <c r="C7" s="47" t="n">
        <f aca="false">B7*(1+Inputs!$E$100)</f>
        <v>5.3004</v>
      </c>
      <c r="D7" s="47" t="n">
        <f aca="false">C7*(1+Inputs!$E$101)</f>
        <v>5.56542</v>
      </c>
      <c r="E7" s="47" t="n">
        <f aca="false">D7*(1+Inputs!$E$102)</f>
        <v>5.843691</v>
      </c>
      <c r="F7" s="47" t="n">
        <f aca="false">E7*(1+Inputs!$E$103)</f>
        <v>6.13587555</v>
      </c>
    </row>
    <row r="8" customFormat="false" ht="15" hidden="false" customHeight="false" outlineLevel="0" collapsed="false">
      <c r="A8" s="13" t="s">
        <v>108</v>
      </c>
      <c r="B8" s="18" t="n">
        <f aca="false">B5+B6+B7</f>
        <v>47.383</v>
      </c>
      <c r="C8" s="18" t="n">
        <f aca="false">C5+C6+C7</f>
        <v>88.1429</v>
      </c>
      <c r="D8" s="18" t="n">
        <f aca="false">D5+D6+D7</f>
        <v>110.50127</v>
      </c>
      <c r="E8" s="18" t="n">
        <f aca="false">E5+E6+E7</f>
        <v>130.138665</v>
      </c>
      <c r="F8" s="18" t="n">
        <f aca="false">F5+F6+F7</f>
        <v>147.52845195</v>
      </c>
    </row>
    <row r="9" customFormat="false" ht="15" hidden="false" customHeight="false" outlineLevel="0" collapsed="false">
      <c r="A9" s="10" t="s">
        <v>501</v>
      </c>
      <c r="C9" s="19" t="n">
        <f aca="false">IFERROR(C8/B8-1,0)</f>
        <v>0.860222020555896</v>
      </c>
      <c r="D9" s="19" t="n">
        <f aca="false">IFERROR(D8/C8-1,0)</f>
        <v>0.253660476340125</v>
      </c>
      <c r="E9" s="19" t="n">
        <f aca="false">IFERROR(E8/D8-1,0)</f>
        <v>0.177711939419339</v>
      </c>
      <c r="F9" s="19" t="n">
        <f aca="false">IFERROR(F8/E8-1,0)</f>
        <v>0.133625060238631</v>
      </c>
    </row>
    <row r="10" customFormat="false" ht="15" hidden="false" customHeight="false" outlineLevel="0" collapsed="false">
      <c r="A10" s="10" t="s">
        <v>502</v>
      </c>
      <c r="C10" s="47" t="n">
        <f aca="false">C5*(Inputs!$E$104+(Inputs!$E$105-Inputs!$E$104)*0/3)</f>
        <v>14.2569</v>
      </c>
      <c r="D10" s="47" t="n">
        <f aca="false">D5*(Inputs!$E$104+(Inputs!$E$105-Inputs!$E$104)*1/3)</f>
        <v>16.461354</v>
      </c>
      <c r="E10" s="47" t="n">
        <f aca="false">E5*(Inputs!$E$104+(Inputs!$E$105-Inputs!$E$104)*2/3)</f>
        <v>18.35350524</v>
      </c>
      <c r="F10" s="47" t="n">
        <f aca="false">F5*(Inputs!$E$104+(Inputs!$E$105-Inputs!$E$104)*3/3)</f>
        <v>19.735173612</v>
      </c>
    </row>
    <row r="11" customFormat="false" ht="15" hidden="false" customHeight="false" outlineLevel="0" collapsed="false">
      <c r="A11" s="10" t="s">
        <v>503</v>
      </c>
      <c r="C11" s="47" t="n">
        <f aca="false">C6*(Inputs!$E$106+(Inputs!$E$107-Inputs!$E$106)*0/3)</f>
        <v>28.7268</v>
      </c>
      <c r="D11" s="47" t="n">
        <f aca="false">D6*(Inputs!$E$106+(Inputs!$E$107-Inputs!$E$106)*1/3)</f>
        <v>36.0481441666667</v>
      </c>
      <c r="E11" s="47" t="n">
        <f aca="false">E6*(Inputs!$E$106+(Inputs!$E$107-Inputs!$E$106)*2/3)</f>
        <v>41.701738</v>
      </c>
      <c r="F11" s="47" t="n">
        <f aca="false">F6*(Inputs!$E$106+(Inputs!$E$107-Inputs!$E$106)*3/3)</f>
        <v>46.16755845</v>
      </c>
    </row>
    <row r="12" customFormat="false" ht="15" hidden="false" customHeight="false" outlineLevel="0" collapsed="false">
      <c r="A12" s="10" t="s">
        <v>504</v>
      </c>
      <c r="C12" s="47" t="n">
        <f aca="false">C7*(Inputs!$E$108+(Inputs!$E$109-Inputs!$E$108)*0/3)</f>
        <v>0.954072</v>
      </c>
      <c r="D12" s="47" t="n">
        <f aca="false">D7*(Inputs!$E$108+(Inputs!$E$109-Inputs!$E$108)*1/3)</f>
        <v>1.0945326</v>
      </c>
      <c r="E12" s="47" t="n">
        <f aca="false">E7*(Inputs!$E$108+(Inputs!$E$109-Inputs!$E$108)*2/3)</f>
        <v>1.24665408</v>
      </c>
      <c r="F12" s="47" t="n">
        <f aca="false">F7*(Inputs!$E$108+(Inputs!$E$109-Inputs!$E$108)*3/3)</f>
        <v>1.4112513765</v>
      </c>
    </row>
    <row r="13" customFormat="false" ht="15" hidden="false" customHeight="false" outlineLevel="0" collapsed="false">
      <c r="A13" s="10" t="s">
        <v>505</v>
      </c>
      <c r="C13" s="47" t="n">
        <f aca="false">C10+C11+C12</f>
        <v>43.937772</v>
      </c>
      <c r="D13" s="47" t="n">
        <f aca="false">D10+D11+D12</f>
        <v>53.6040307666667</v>
      </c>
      <c r="E13" s="47" t="n">
        <f aca="false">E10+E11+E12</f>
        <v>61.30189732</v>
      </c>
      <c r="F13" s="47" t="n">
        <f aca="false">F10+F11+F12</f>
        <v>67.3139834385</v>
      </c>
    </row>
    <row r="14" customFormat="false" ht="15" hidden="false" customHeight="false" outlineLevel="0" collapsed="false">
      <c r="A14" s="10" t="s">
        <v>506</v>
      </c>
      <c r="B14" s="47" t="n">
        <f aca="false">(Inputs!$E$87+Inputs!$E$88+Inputs!$E$89)*Inputs!$E$110</f>
        <v>1.624</v>
      </c>
      <c r="C14" s="47" t="n">
        <f aca="false">C8*Inputs!$E$110</f>
        <v>7.051432</v>
      </c>
      <c r="D14" s="47" t="n">
        <f aca="false">D8*Inputs!$E$110</f>
        <v>8.8401016</v>
      </c>
      <c r="E14" s="47" t="n">
        <f aca="false">E8*Inputs!$E$110</f>
        <v>10.4110932</v>
      </c>
      <c r="F14" s="47" t="n">
        <f aca="false">F8*Inputs!$E$110</f>
        <v>11.802276156</v>
      </c>
    </row>
    <row r="15" customFormat="false" ht="15" hidden="false" customHeight="false" outlineLevel="0" collapsed="false">
      <c r="A15" s="10" t="s">
        <v>507</v>
      </c>
      <c r="B15" s="47" t="n">
        <f aca="false">(1-Inputs!$B$14)*Historicals!B$67</f>
        <v>0</v>
      </c>
      <c r="C15" s="47" t="n">
        <f aca="false">(1-Inputs!$B$14)*Historicals!C$67</f>
        <v>0</v>
      </c>
      <c r="D15" s="47" t="n">
        <f aca="false">(1-Inputs!$B$14)*Historicals!D$67</f>
        <v>0</v>
      </c>
      <c r="E15" s="47" t="n">
        <f aca="false">(1-Inputs!$B$14)*Historicals!E$67</f>
        <v>0</v>
      </c>
      <c r="F15" s="26" t="n">
        <v>0</v>
      </c>
      <c r="G15" s="6" t="s">
        <v>508</v>
      </c>
    </row>
    <row r="16" customFormat="false" ht="15" hidden="false" customHeight="false" outlineLevel="0" collapsed="false">
      <c r="A16" s="10" t="s">
        <v>509</v>
      </c>
      <c r="B16" s="47" t="n">
        <f aca="false">Historicals!$C$13+Inputs!$B$50/4</f>
        <v>3.56</v>
      </c>
      <c r="C16" s="47" t="n">
        <f aca="false">Inputs!$B$50*MAX(0,MIN(1,(Inputs!$B$54-1+0.5)/Inputs!$B$54))+$B26*IF(1&lt;=Inputs!$B$46,1,0)/Inputs!$B$46+C22*0.5/Inputs!$B$46</f>
        <v>4.65589592584086</v>
      </c>
      <c r="D16" s="47" t="n">
        <f aca="false">Inputs!$B$50*MAX(0,MIN(1,(Inputs!$B$54-2+0.5)/Inputs!$B$54))+$B26*IF(2&lt;=Inputs!$B$46,1,0)/Inputs!$B$46+C22*IF(1&lt;=Inputs!$B$46-1,1,IF(1=Inputs!$B$46,0.5,0))/Inputs!$B$46+D22*0.5/Inputs!$B$46</f>
        <v>4.80554232584086</v>
      </c>
      <c r="E16" s="47" t="n">
        <f aca="false">Inputs!$B$50*MAX(0,MIN(1,(Inputs!$B$54-3+0.5)/Inputs!$B$54))+$B26*IF(3&lt;=Inputs!$B$46,1,0)/Inputs!$B$46+C22*IF(2&lt;=Inputs!$B$46-1,1,IF(2=Inputs!$B$46,0.5,0))/Inputs!$B$46+D22*IF(1&lt;=Inputs!$B$46-1,1,IF(1=Inputs!$B$46,0.5,0))/Inputs!$B$46+E22*0.5/Inputs!$B$46</f>
        <v>4.88555066784086</v>
      </c>
      <c r="F16" s="47" t="n">
        <f aca="false">Inputs!$B$50*MAX(0,MIN(1,(Inputs!$B$54-4+0.5)/Inputs!$B$54))+$B26*IF(4&lt;=Inputs!$B$46,1,0)/Inputs!$B$46+C22*IF(3&lt;=Inputs!$B$46-1,1,IF(3=Inputs!$B$46,0.5,0))/Inputs!$B$46+D22*IF(2&lt;=Inputs!$B$46-1,1,IF(2=Inputs!$B$46,0.5,0))/Inputs!$B$46+E22*IF(1&lt;=Inputs!$B$46-1,1,IF(1=Inputs!$B$46,0.5,0))/Inputs!$B$46+F22*0.5/Inputs!$B$46</f>
        <v>4.81310154664086</v>
      </c>
    </row>
    <row r="17" customFormat="false" ht="15" hidden="false" customHeight="false" outlineLevel="0" collapsed="false">
      <c r="A17" s="10" t="s">
        <v>510</v>
      </c>
      <c r="B17" s="47" t="n">
        <f aca="false">Historicals!$C$14+Inputs!$B$51/4</f>
        <v>8.324</v>
      </c>
      <c r="C17" s="47" t="n">
        <f aca="false">Inputs!$B$51*MAX(0,MIN(1,(Inputs!$B$55-1+0.5)/Inputs!$B$55))+$B27*IF(1&lt;=Inputs!$B$47,1,0)/Inputs!$B$47+C23*0.5/Inputs!$B$47</f>
        <v>19.255949768321</v>
      </c>
      <c r="D17" s="47" t="n">
        <f aca="false">Inputs!$B$51*MAX(0,MIN(1,(Inputs!$B$55-2+0.5)/Inputs!$B$55))+$B27*IF(2&lt;=Inputs!$B$47,1,0)/Inputs!$B$47+C23*IF(1&lt;=Inputs!$B$47-1,1,IF(1=Inputs!$B$47,0.5,0))/Inputs!$B$47+D23*0.5/Inputs!$B$47</f>
        <v>28.206843220702</v>
      </c>
      <c r="E17" s="47" t="n">
        <f aca="false">Inputs!$B$51*MAX(0,MIN(1,(Inputs!$B$55-3+0.5)/Inputs!$B$55))+$B27*IF(3&lt;=Inputs!$B$47,1,0)/Inputs!$B$47+C23*IF(2&lt;=Inputs!$B$47-1,1,IF(2=Inputs!$B$47,0.5,0))/Inputs!$B$47+D23*IF(1&lt;=Inputs!$B$47-1,1,IF(1=Inputs!$B$47,0.5,0))/Inputs!$B$47+E23*0.5/Inputs!$B$47</f>
        <v>35.8239923873687</v>
      </c>
      <c r="F17" s="47" t="n">
        <f aca="false">Inputs!$B$51*MAX(0,MIN(1,(Inputs!$B$55-4+0.5)/Inputs!$B$55))+$B27*IF(4&lt;=Inputs!$B$47,1,0)/Inputs!$B$47+C23*IF(3&lt;=Inputs!$B$47-1,1,IF(3=Inputs!$B$47,0.5,0))/Inputs!$B$47+D23*IF(2&lt;=Inputs!$B$47-1,1,IF(2=Inputs!$B$47,0.5,0))/Inputs!$B$47+E23*IF(1&lt;=Inputs!$B$47-1,1,IF(1=Inputs!$B$47,0.5,0))/Inputs!$B$47+F23*0.5/Inputs!$B$47</f>
        <v>40.3698248516544</v>
      </c>
    </row>
    <row r="18" customFormat="false" ht="15" hidden="false" customHeight="false" outlineLevel="0" collapsed="false">
      <c r="A18" s="10" t="s">
        <v>511</v>
      </c>
      <c r="B18" s="47" t="n">
        <f aca="false">Historicals!$C$15+Inputs!$B$52/4</f>
        <v>0.694</v>
      </c>
      <c r="C18" s="47" t="n">
        <f aca="false">Inputs!$B$52*MAX(0,MIN(1,(Inputs!$B$56-1+0.5)/Inputs!$B$56))+$B28*IF(1&lt;=Inputs!$B$48,1,0)/Inputs!$B$48+C24*0.5/Inputs!$B$48</f>
        <v>1.19171953258817</v>
      </c>
      <c r="D18" s="47" t="n">
        <f aca="false">Inputs!$B$52*MAX(0,MIN(1,(Inputs!$B$56-2+0.5)/Inputs!$B$56))+$B28*IF(2&lt;=Inputs!$B$48,1,0)/Inputs!$B$48+C24*IF(1&lt;=Inputs!$B$48-1,1,IF(1=Inputs!$B$48,0.5,0))/Inputs!$B$48+D24*0.5/Inputs!$B$48</f>
        <v>1.40694924925484</v>
      </c>
      <c r="E18" s="47" t="n">
        <f aca="false">Inputs!$B$52*MAX(0,MIN(1,(Inputs!$B$56-3+0.5)/Inputs!$B$56))+$B28*IF(3&lt;=Inputs!$B$48,1,0)/Inputs!$B$48+C24*IF(2&lt;=Inputs!$B$48-1,1,IF(2=Inputs!$B$48,0.5,0))/Inputs!$B$48+D24*IF(1&lt;=Inputs!$B$48-1,1,IF(1=Inputs!$B$48,0.5,0))/Inputs!$B$48+E24*0.5/Inputs!$B$48</f>
        <v>1.5535387859215</v>
      </c>
      <c r="F18" s="47" t="n">
        <f aca="false">Inputs!$B$52*MAX(0,MIN(1,(Inputs!$B$56-4+0.5)/Inputs!$B$56))+$B28*IF(4&lt;=Inputs!$B$48,1,0)/Inputs!$B$48+C24*IF(3&lt;=Inputs!$B$48-1,1,IF(3=Inputs!$B$48,0.5,0))/Inputs!$B$48+D24*IF(2&lt;=Inputs!$B$48-1,1,IF(2=Inputs!$B$48,0.5,0))/Inputs!$B$48+E24*IF(1&lt;=Inputs!$B$48-1,1,IF(1=Inputs!$B$48,0.5,0))/Inputs!$B$48+F24*0.5/Inputs!$B$48</f>
        <v>1.62377771696317</v>
      </c>
    </row>
    <row r="19" customFormat="false" ht="15" hidden="false" customHeight="false" outlineLevel="0" collapsed="false">
      <c r="A19" s="10" t="s">
        <v>512</v>
      </c>
      <c r="B19" s="47" t="n">
        <f aca="false">B16+B17+B18</f>
        <v>12.578</v>
      </c>
      <c r="C19" s="47" t="n">
        <f aca="false">C16+C17+C18</f>
        <v>25.1035652267501</v>
      </c>
      <c r="D19" s="47" t="n">
        <f aca="false">D16+D17+D18</f>
        <v>34.4193347957977</v>
      </c>
      <c r="E19" s="47" t="n">
        <f aca="false">E16+E17+E18</f>
        <v>42.263081841131</v>
      </c>
      <c r="F19" s="47" t="n">
        <f aca="false">F16+F17+F18</f>
        <v>46.8067041152584</v>
      </c>
    </row>
    <row r="20" customFormat="false" ht="15" hidden="false" customHeight="false" outlineLevel="0" collapsed="false">
      <c r="A20" s="13" t="s">
        <v>513</v>
      </c>
      <c r="B20" s="18" t="n">
        <f aca="false">Historicals!$C$12+(Inputs!$E$87+Inputs!$E$88+Inputs!$E$89)*Inputs!$E$90-B15</f>
        <v>2.735</v>
      </c>
      <c r="C20" s="18" t="n">
        <f aca="false">C13-C14-C15-C19</f>
        <v>11.7827747732499</v>
      </c>
      <c r="D20" s="18" t="n">
        <f aca="false">D13-D14-D15-D19</f>
        <v>10.344594370869</v>
      </c>
      <c r="E20" s="18" t="n">
        <f aca="false">E13-E14-E15-E19</f>
        <v>8.62772227886897</v>
      </c>
      <c r="F20" s="18" t="n">
        <f aca="false">F13-F14-F15-F19</f>
        <v>8.70500316724159</v>
      </c>
    </row>
    <row r="21" customFormat="false" ht="15" hidden="false" customHeight="false" outlineLevel="0" collapsed="false">
      <c r="A21" s="10" t="s">
        <v>514</v>
      </c>
      <c r="B21" s="19" t="n">
        <f aca="false">IFERROR(B20/B8,0)</f>
        <v>0.0577211236097335</v>
      </c>
      <c r="C21" s="19" t="n">
        <f aca="false">IFERROR(C20/C8,0)</f>
        <v>0.133678092883828</v>
      </c>
      <c r="D21" s="19" t="n">
        <f aca="false">IFERROR(D20/D8,0)</f>
        <v>0.0936151627114238</v>
      </c>
      <c r="E21" s="19" t="n">
        <f aca="false">IFERROR(E20/E8,0)</f>
        <v>0.0662963791650158</v>
      </c>
      <c r="F21" s="19" t="n">
        <f aca="false">IFERROR(F20/F8,0)</f>
        <v>0.0590055887673238</v>
      </c>
    </row>
    <row r="22" customFormat="false" ht="15" hidden="false" customHeight="false" outlineLevel="0" collapsed="false">
      <c r="A22" s="10" t="s">
        <v>515</v>
      </c>
      <c r="B22" s="47" t="n">
        <f aca="false">Historicals!$C$19+B26</f>
        <v>7.39210462920431</v>
      </c>
      <c r="C22" s="47" t="n">
        <f aca="false">C5*(Inputs!$E$111+(Inputs!$E$112-Inputs!$E$111)*0/3)</f>
        <v>5.74875</v>
      </c>
      <c r="D22" s="47" t="n">
        <f aca="false">D5*(Inputs!$E$111+(Inputs!$E$112-Inputs!$E$111)*1/3)</f>
        <v>5.607714</v>
      </c>
      <c r="E22" s="47" t="n">
        <f aca="false">E5*(Inputs!$E$111+(Inputs!$E$112-Inputs!$E$111)*2/3)</f>
        <v>5.05236942</v>
      </c>
      <c r="F22" s="47" t="n">
        <f aca="false">F5*(Inputs!$E$111+(Inputs!$E$112-Inputs!$E$111)*3/3)</f>
        <v>4.083139368</v>
      </c>
    </row>
    <row r="23" customFormat="false" ht="15" hidden="false" customHeight="false" outlineLevel="0" collapsed="false">
      <c r="A23" s="10" t="s">
        <v>516</v>
      </c>
      <c r="B23" s="47" t="n">
        <f aca="false">Historicals!$C$20+B27</f>
        <v>73.5661733782473</v>
      </c>
      <c r="C23" s="47" t="n">
        <f aca="false">C6*(Inputs!$E$113+(Inputs!$E$114-Inputs!$E$113)*0/3)</f>
        <v>77.80175</v>
      </c>
      <c r="D23" s="47" t="n">
        <f aca="false">D6*(Inputs!$E$113+(Inputs!$E$114-Inputs!$E$113)*1/3)</f>
        <v>75.2083583333333</v>
      </c>
      <c r="E23" s="47" t="n">
        <f aca="false">E6*(Inputs!$E$113+(Inputs!$E$114-Inputs!$E$113)*2/3)</f>
        <v>59.12933</v>
      </c>
      <c r="F23" s="47" t="n">
        <f aca="false">F6*(Inputs!$E$113+(Inputs!$E$114-Inputs!$E$113)*3/3)</f>
        <v>32.2099245</v>
      </c>
    </row>
    <row r="24" customFormat="false" ht="15" hidden="false" customHeight="false" outlineLevel="0" collapsed="false">
      <c r="A24" s="10" t="s">
        <v>517</v>
      </c>
      <c r="B24" s="47" t="n">
        <f aca="false">Historicals!$C$21+B28</f>
        <v>7.11072199254836</v>
      </c>
      <c r="C24" s="47" t="n">
        <f aca="false">C7*(Inputs!$E$115+(Inputs!$E$116-Inputs!$E$115)*0/3)</f>
        <v>3.71028</v>
      </c>
      <c r="D24" s="47" t="n">
        <f aca="false">D7*(Inputs!$E$115+(Inputs!$E$116-Inputs!$E$115)*1/3)</f>
        <v>3.060981</v>
      </c>
      <c r="E24" s="47" t="n">
        <f aca="false">E7*(Inputs!$E$115+(Inputs!$E$116-Inputs!$E$115)*2/3)</f>
        <v>2.3374764</v>
      </c>
      <c r="F24" s="47" t="n">
        <f aca="false">F7*(Inputs!$E$115+(Inputs!$E$116-Inputs!$E$115)*3/3)</f>
        <v>1.5339688875</v>
      </c>
    </row>
    <row r="25" customFormat="false" ht="15" hidden="false" customHeight="false" outlineLevel="0" collapsed="false">
      <c r="A25" s="10" t="s">
        <v>518</v>
      </c>
      <c r="B25" s="47" t="n">
        <f aca="false">B22+B23+B24</f>
        <v>88.069</v>
      </c>
      <c r="C25" s="47" t="n">
        <f aca="false">C22+C23+C24</f>
        <v>87.26078</v>
      </c>
      <c r="D25" s="47" t="n">
        <f aca="false">D22+D23+D24</f>
        <v>83.8770533333333</v>
      </c>
      <c r="E25" s="47" t="n">
        <f aca="false">E22+E23+E24</f>
        <v>66.51917582</v>
      </c>
      <c r="F25" s="47" t="n">
        <f aca="false">F22+F23+F24</f>
        <v>37.8270327555</v>
      </c>
    </row>
    <row r="26" customFormat="false" ht="15" hidden="false" customHeight="false" outlineLevel="0" collapsed="false">
      <c r="A26" s="10" t="s">
        <v>519</v>
      </c>
      <c r="B26" s="47" t="n">
        <f aca="false">Inputs!$E$91*Historicals!$B$19/Historicals!$B$22</f>
        <v>3.15010462920431</v>
      </c>
    </row>
    <row r="27" customFormat="false" ht="15" hidden="false" customHeight="false" outlineLevel="0" collapsed="false">
      <c r="A27" s="10" t="s">
        <v>520</v>
      </c>
      <c r="B27" s="47" t="n">
        <f aca="false">Inputs!$E$91*Historicals!$B$20/Historicals!$B$22</f>
        <v>33.5711733782473</v>
      </c>
    </row>
    <row r="28" customFormat="false" ht="15" hidden="false" customHeight="false" outlineLevel="0" collapsed="false">
      <c r="A28" s="10" t="s">
        <v>521</v>
      </c>
      <c r="B28" s="47" t="n">
        <f aca="false">Inputs!$E$91*Historicals!$B$21/Historicals!$B$22</f>
        <v>3.27872199254836</v>
      </c>
    </row>
    <row r="29" customFormat="false" ht="15" hidden="false" customHeight="false" outlineLevel="0" collapsed="false">
      <c r="A29" s="10" t="s">
        <v>522</v>
      </c>
      <c r="C29" s="48" t="n">
        <f aca="false">IFERROR(C25/C19,0)</f>
        <v>3.47603136095649</v>
      </c>
      <c r="D29" s="48" t="n">
        <f aca="false">IFERROR(D25/D19,0)</f>
        <v>2.43691674551404</v>
      </c>
      <c r="E29" s="48" t="n">
        <f aca="false">IFERROR(E25/E19,0)</f>
        <v>1.57393102732188</v>
      </c>
      <c r="F29" s="48" t="n">
        <f aca="false">IFERROR(F25/F19,0)</f>
        <v>0.808154162325838</v>
      </c>
    </row>
    <row r="30" customFormat="false" ht="15" hidden="false" customHeight="false" outlineLevel="0" collapsed="false">
      <c r="A30" s="10" t="s">
        <v>523</v>
      </c>
      <c r="B30" s="47" t="n">
        <f aca="false">B20-Inputs!$B$37*B25+Inputs!$B$37*B19</f>
        <v>-50.1087</v>
      </c>
      <c r="C30" s="47" t="n">
        <f aca="false">C20-Inputs!$B$37*C25+Inputs!$B$37*C19</f>
        <v>-31.727275568025</v>
      </c>
      <c r="D30" s="47" t="n">
        <f aca="false">D20-Inputs!$B$37*D25+Inputs!$B$37*D19</f>
        <v>-24.275808605406</v>
      </c>
      <c r="E30" s="47" t="n">
        <f aca="false">E20-Inputs!$B$37*E25+Inputs!$B$37*E19</f>
        <v>-8.35154350633931</v>
      </c>
      <c r="F30" s="47" t="n">
        <f aca="false">F20-Inputs!$B$37*F25+Inputs!$B$37*F19</f>
        <v>14.9907731190725</v>
      </c>
    </row>
    <row r="31" customFormat="false" ht="15" hidden="false" customHeight="false" outlineLevel="0" collapsed="false">
      <c r="A31" s="10" t="s">
        <v>524</v>
      </c>
      <c r="B31" s="47" t="n">
        <f aca="false">MIN(Historicals!$B$47,MAX(0,B30),1E+099)</f>
        <v>0</v>
      </c>
      <c r="C31" s="47" t="n">
        <f aca="false">MIN(B33,MAX(0,C30),Inputs!$B$36)</f>
        <v>0</v>
      </c>
      <c r="D31" s="47" t="n">
        <f aca="false">MIN(C33,MAX(0,D30),Inputs!$B$36)</f>
        <v>0</v>
      </c>
      <c r="E31" s="47" t="n">
        <f aca="false">MIN(D33,MAX(0,E30),Inputs!$B$36)</f>
        <v>0</v>
      </c>
      <c r="F31" s="47" t="n">
        <f aca="false">MIN(E33,MAX(0,F30),Inputs!$B$36)</f>
        <v>14.9907731190725</v>
      </c>
    </row>
    <row r="32" customFormat="false" ht="15" hidden="false" customHeight="false" outlineLevel="0" collapsed="false">
      <c r="A32" s="10" t="s">
        <v>525</v>
      </c>
      <c r="B32" s="47" t="n">
        <f aca="false">MIN(0,MAX(0,B30)-B31)</f>
        <v>0</v>
      </c>
      <c r="C32" s="47" t="n">
        <f aca="false">MIN(B34,MAX(0,C30)-C31)</f>
        <v>0</v>
      </c>
      <c r="D32" s="47" t="n">
        <f aca="false">MIN(C34,MAX(0,D30)-D31)</f>
        <v>0</v>
      </c>
      <c r="E32" s="47" t="n">
        <f aca="false">MIN(D34,MAX(0,E30)-E31)</f>
        <v>0</v>
      </c>
      <c r="F32" s="47" t="n">
        <f aca="false">MIN(E34,MAX(0,F30)-F31)</f>
        <v>0</v>
      </c>
    </row>
    <row r="33" customFormat="false" ht="15" hidden="false" customHeight="false" outlineLevel="0" collapsed="false">
      <c r="A33" s="10" t="s">
        <v>526</v>
      </c>
      <c r="B33" s="47" t="n">
        <f aca="false">Historicals!$B$47-B31+MAX(0,-B30)</f>
        <v>55.3427</v>
      </c>
      <c r="C33" s="47" t="n">
        <f aca="false">B33-C31</f>
        <v>55.3427</v>
      </c>
      <c r="D33" s="47" t="n">
        <f aca="false">C33-D31</f>
        <v>55.3427</v>
      </c>
      <c r="E33" s="47" t="n">
        <f aca="false">D33-E31</f>
        <v>55.3427</v>
      </c>
      <c r="F33" s="47" t="n">
        <f aca="false">E33-F31</f>
        <v>40.3519268809275</v>
      </c>
    </row>
    <row r="34" customFormat="false" ht="15" hidden="false" customHeight="false" outlineLevel="0" collapsed="false">
      <c r="A34" s="10" t="s">
        <v>527</v>
      </c>
      <c r="B34" s="26" t="n">
        <v>0</v>
      </c>
      <c r="C34" s="47" t="n">
        <f aca="false">B34-C32+MAX(0,-C30)</f>
        <v>31.727275568025</v>
      </c>
      <c r="D34" s="47" t="n">
        <f aca="false">C34-D32+MAX(0,-D30)</f>
        <v>56.003084173431</v>
      </c>
      <c r="E34" s="47" t="n">
        <f aca="false">D34-E32+MAX(0,-E30)</f>
        <v>64.3546276797703</v>
      </c>
      <c r="F34" s="47" t="n">
        <f aca="false">E34-F32+MAX(0,-F30)</f>
        <v>64.3546276797703</v>
      </c>
    </row>
    <row r="35" customFormat="false" ht="15" hidden="false" customHeight="false" outlineLevel="0" collapsed="false">
      <c r="A35" s="10" t="s">
        <v>528</v>
      </c>
      <c r="B35" s="47" t="n">
        <f aca="false">MAX(0,B30-B31-B32)*Inputs!$B$34</f>
        <v>0</v>
      </c>
      <c r="C35" s="47" t="n">
        <f aca="false">MAX(0,C30-C31-C32)*Inputs!$B$34</f>
        <v>0</v>
      </c>
      <c r="D35" s="47" t="n">
        <f aca="false">MAX(0,D30-D31-D32)*Inputs!$B$34</f>
        <v>0</v>
      </c>
      <c r="E35" s="47" t="n">
        <f aca="false">MAX(0,E30-E31-E32)*Inputs!$B$34</f>
        <v>0</v>
      </c>
      <c r="F35" s="47" t="n">
        <f aca="false">MAX(0,F30-F31-F32)*Inputs!$B$34</f>
        <v>0</v>
      </c>
    </row>
    <row r="36" customFormat="false" ht="15" hidden="false" customHeight="false" outlineLevel="0" collapsed="false">
      <c r="A36" s="10" t="s">
        <v>529</v>
      </c>
      <c r="B36" s="47" t="n">
        <f aca="false">B30-B35</f>
        <v>-50.1087</v>
      </c>
      <c r="C36" s="47" t="n">
        <f aca="false">C30-C35</f>
        <v>-31.727275568025</v>
      </c>
      <c r="D36" s="47" t="n">
        <f aca="false">D30-D35</f>
        <v>-24.275808605406</v>
      </c>
      <c r="E36" s="47" t="n">
        <f aca="false">E30-E35</f>
        <v>-8.35154350633931</v>
      </c>
      <c r="F36" s="47" t="n">
        <f aca="false">F30-F35</f>
        <v>14.9907731190725</v>
      </c>
    </row>
    <row r="37" customFormat="false" ht="15" hidden="false" customHeight="false" outlineLevel="0" collapsed="false">
      <c r="A37" s="10" t="s">
        <v>530</v>
      </c>
      <c r="B37" s="47" t="n">
        <f aca="false">MIN(Historicals!$B$46,Inputs!$B$35*MAX(0,B36),1E+099)</f>
        <v>0</v>
      </c>
      <c r="C37" s="47" t="n">
        <f aca="false">MIN(B39,Inputs!$B$35*MAX(0,C36),Inputs!$B$36)</f>
        <v>0</v>
      </c>
      <c r="D37" s="47" t="n">
        <f aca="false">MIN(C39,Inputs!$B$35*MAX(0,D36),Inputs!$B$36)</f>
        <v>0</v>
      </c>
      <c r="E37" s="47" t="n">
        <f aca="false">MIN(D39,Inputs!$B$35*MAX(0,E36),Inputs!$B$36)</f>
        <v>0</v>
      </c>
      <c r="F37" s="47" t="n">
        <f aca="false">MIN(E39,Inputs!$B$35*MAX(0,F36),Inputs!$B$36)</f>
        <v>11.992618495258</v>
      </c>
    </row>
    <row r="38" customFormat="false" ht="15" hidden="false" customHeight="false" outlineLevel="0" collapsed="false">
      <c r="A38" s="10" t="s">
        <v>531</v>
      </c>
      <c r="B38" s="47" t="n">
        <f aca="false">MIN(0,Inputs!$B$35*MAX(0,B36)-B37)</f>
        <v>0</v>
      </c>
      <c r="C38" s="47" t="n">
        <f aca="false">MIN(B40,Inputs!$B$35*MAX(0,C36)-C37)</f>
        <v>0</v>
      </c>
      <c r="D38" s="47" t="n">
        <f aca="false">MIN(C40,Inputs!$B$35*MAX(0,D36)-D37)</f>
        <v>0</v>
      </c>
      <c r="E38" s="47" t="n">
        <f aca="false">MIN(D40,Inputs!$B$35*MAX(0,E36)-E37)</f>
        <v>0</v>
      </c>
      <c r="F38" s="47" t="n">
        <f aca="false">MIN(E40,Inputs!$B$35*MAX(0,F36)-F37)</f>
        <v>0</v>
      </c>
    </row>
    <row r="39" customFormat="false" ht="15" hidden="false" customHeight="false" outlineLevel="0" collapsed="false">
      <c r="A39" s="10" t="s">
        <v>532</v>
      </c>
      <c r="B39" s="47" t="n">
        <f aca="false">Historicals!$B$46-B37+MAX(0,-B36)</f>
        <v>59.8367</v>
      </c>
      <c r="C39" s="47" t="n">
        <f aca="false">B39-C37</f>
        <v>59.8367</v>
      </c>
      <c r="D39" s="47" t="n">
        <f aca="false">C39-D37</f>
        <v>59.8367</v>
      </c>
      <c r="E39" s="47" t="n">
        <f aca="false">D39-E37</f>
        <v>59.8367</v>
      </c>
      <c r="F39" s="47" t="n">
        <f aca="false">E39-F37</f>
        <v>47.844081504742</v>
      </c>
    </row>
    <row r="40" customFormat="false" ht="15" hidden="false" customHeight="false" outlineLevel="0" collapsed="false">
      <c r="A40" s="10" t="s">
        <v>533</v>
      </c>
      <c r="B40" s="26" t="n">
        <v>0</v>
      </c>
      <c r="C40" s="47" t="n">
        <f aca="false">B40-C38+MAX(0,-C36)</f>
        <v>31.727275568025</v>
      </c>
      <c r="D40" s="47" t="n">
        <f aca="false">C40-D38+MAX(0,-D36)</f>
        <v>56.003084173431</v>
      </c>
      <c r="E40" s="47" t="n">
        <f aca="false">D40-E38+MAX(0,-E36)</f>
        <v>64.3546276797703</v>
      </c>
      <c r="F40" s="47" t="n">
        <f aca="false">E40-F38+MAX(0,-F36)</f>
        <v>64.3546276797703</v>
      </c>
    </row>
    <row r="41" customFormat="false" ht="15" hidden="false" customHeight="false" outlineLevel="0" collapsed="false">
      <c r="A41" s="10" t="s">
        <v>534</v>
      </c>
      <c r="B41" s="47" t="n">
        <f aca="false">MAX(0,B36-B37-B38)*Inputs!$B$33</f>
        <v>0</v>
      </c>
      <c r="C41" s="47" t="n">
        <f aca="false">MAX(0,C36-C37-C38)*Inputs!$B$33</f>
        <v>0</v>
      </c>
      <c r="D41" s="47" t="n">
        <f aca="false">MAX(0,D36-D37-D38)*Inputs!$B$33</f>
        <v>0</v>
      </c>
      <c r="E41" s="47" t="n">
        <f aca="false">MAX(0,E36-E37-E38)*Inputs!$B$33</f>
        <v>0</v>
      </c>
      <c r="F41" s="47" t="n">
        <f aca="false">MAX(0,F36-F37-F38)*Inputs!$B$33</f>
        <v>0.629612471001044</v>
      </c>
    </row>
    <row r="42" customFormat="false" ht="15" hidden="false" customHeight="false" outlineLevel="0" collapsed="false">
      <c r="A42" s="10" t="s">
        <v>535</v>
      </c>
      <c r="B42" s="47" t="n">
        <f aca="false">MIN(Historicals!$B$48,B41,MAX(0,1E+099-B37)*Inputs!$B$33)</f>
        <v>0</v>
      </c>
      <c r="C42" s="47" t="n">
        <f aca="false">MIN(B43,C41,MAX(0,Inputs!$B$36-C37)*Inputs!$B$33)</f>
        <v>0</v>
      </c>
      <c r="D42" s="47" t="n">
        <f aca="false">MIN(C43,D41,MAX(0,Inputs!$B$36-D37)*Inputs!$B$33)</f>
        <v>0</v>
      </c>
      <c r="E42" s="47" t="n">
        <f aca="false">MIN(D43,E41,MAX(0,Inputs!$B$36-E37)*Inputs!$B$33)</f>
        <v>0</v>
      </c>
      <c r="F42" s="47" t="n">
        <f aca="false">MIN(E43,F41,MAX(0,Inputs!$B$36-F37)*Inputs!$B$33)</f>
        <v>0.629612471001044</v>
      </c>
    </row>
    <row r="43" customFormat="false" ht="15" hidden="false" customHeight="false" outlineLevel="0" collapsed="false">
      <c r="A43" s="10" t="s">
        <v>536</v>
      </c>
      <c r="B43" s="47" t="n">
        <f aca="false">Historicals!$B$48-B42</f>
        <v>3.586</v>
      </c>
      <c r="C43" s="47" t="n">
        <f aca="false">B43-C42</f>
        <v>3.586</v>
      </c>
      <c r="D43" s="47" t="n">
        <f aca="false">C43-D42</f>
        <v>3.586</v>
      </c>
      <c r="E43" s="47" t="n">
        <f aca="false">D43-E42</f>
        <v>3.586</v>
      </c>
      <c r="F43" s="47" t="n">
        <f aca="false">E43-F42</f>
        <v>2.95638752899896</v>
      </c>
    </row>
    <row r="44" customFormat="false" ht="15" hidden="false" customHeight="false" outlineLevel="0" collapsed="false">
      <c r="A44" s="13" t="s">
        <v>537</v>
      </c>
      <c r="B44" s="18" t="n">
        <f aca="false">MAX(0,(Inputs!$E$87+Inputs!$E$88+Inputs!$E$89)*Inputs!$E$90)*Inputs!$B$40</f>
        <v>0</v>
      </c>
      <c r="C44" s="18" t="n">
        <f aca="false">C41-C42+C35</f>
        <v>0</v>
      </c>
      <c r="D44" s="18" t="n">
        <f aca="false">D41-D42+D35</f>
        <v>0</v>
      </c>
      <c r="E44" s="18" t="n">
        <f aca="false">E41-E42+E35</f>
        <v>0</v>
      </c>
      <c r="F44" s="18" t="n">
        <f aca="false">F41-F42+F35</f>
        <v>0</v>
      </c>
    </row>
    <row r="45" customFormat="false" ht="15" hidden="false" customHeight="false" outlineLevel="0" collapsed="false">
      <c r="A45" s="10" t="s">
        <v>538</v>
      </c>
      <c r="B45" s="47" t="n">
        <f aca="false">0+Inputs!$B$37*(B25-B19)</f>
        <v>52.8437</v>
      </c>
      <c r="C45" s="47" t="n">
        <f aca="false">B45+Inputs!$B$37*(C25-C19)</f>
        <v>96.353750341275</v>
      </c>
      <c r="D45" s="47" t="n">
        <f aca="false">C45+Inputs!$B$37*(D25-D19)</f>
        <v>130.97415331755</v>
      </c>
      <c r="E45" s="47" t="n">
        <f aca="false">D45+Inputs!$B$37*(E25-E19)</f>
        <v>147.953419102758</v>
      </c>
      <c r="F45" s="47" t="n">
        <f aca="false">E45+Inputs!$B$37*(F25-F19)</f>
        <v>141.667649150927</v>
      </c>
    </row>
    <row r="46" customFormat="false" ht="15" hidden="false" customHeight="false" outlineLevel="0" collapsed="false">
      <c r="A46" s="10" t="s">
        <v>539</v>
      </c>
      <c r="B46" s="47" t="n">
        <f aca="false">B45*Inputs!$B$79</f>
        <v>12.76703792</v>
      </c>
      <c r="C46" s="47" t="n">
        <f aca="false">C45*Inputs!$B$79</f>
        <v>23.279066082452</v>
      </c>
      <c r="D46" s="47" t="n">
        <f aca="false">D45*Inputs!$B$79</f>
        <v>31.64335544152</v>
      </c>
      <c r="E46" s="47" t="n">
        <f aca="false">E45*Inputs!$B$79</f>
        <v>35.7455460552264</v>
      </c>
      <c r="F46" s="47" t="n">
        <f aca="false">F45*Inputs!$B$79</f>
        <v>34.226904034864</v>
      </c>
    </row>
    <row r="47" customFormat="false" ht="15" hidden="false" customHeight="false" outlineLevel="0" collapsed="false">
      <c r="A47" s="10" t="s">
        <v>540</v>
      </c>
      <c r="C47" s="47" t="n">
        <f aca="false">C20-C44</f>
        <v>11.7827747732499</v>
      </c>
      <c r="D47" s="47" t="n">
        <f aca="false">D20-D44</f>
        <v>10.344594370869</v>
      </c>
      <c r="E47" s="47" t="n">
        <f aca="false">E20-E44</f>
        <v>8.62772227886897</v>
      </c>
      <c r="F47" s="47" t="n">
        <f aca="false">F20-F44</f>
        <v>8.70500316724159</v>
      </c>
    </row>
    <row r="48" customFormat="false" ht="15" hidden="false" customHeight="false" outlineLevel="0" collapsed="false">
      <c r="A48" s="10" t="s">
        <v>541</v>
      </c>
      <c r="C48" s="47" t="n">
        <f aca="false">Inputs!$B$64*(C8-B8)</f>
        <v>0</v>
      </c>
      <c r="D48" s="47" t="n">
        <f aca="false">Inputs!$B$64*(D8-C8)</f>
        <v>0</v>
      </c>
      <c r="E48" s="47" t="n">
        <f aca="false">Inputs!$B$64*(E8-D8)</f>
        <v>0</v>
      </c>
      <c r="F48" s="47" t="n">
        <f aca="false">Inputs!$B$64*(F8-E8)</f>
        <v>0</v>
      </c>
    </row>
    <row r="49" customFormat="false" ht="15" hidden="false" customHeight="false" outlineLevel="0" collapsed="false">
      <c r="A49" s="13" t="s">
        <v>542</v>
      </c>
      <c r="B49" s="18" t="n">
        <f aca="false">B50-B14</f>
        <v>-34.326</v>
      </c>
      <c r="C49" s="18" t="n">
        <f aca="false">C20+C19-C44-C25-C48</f>
        <v>-50.37444</v>
      </c>
      <c r="D49" s="18" t="n">
        <f aca="false">D20+D19-D44-D25-D48</f>
        <v>-39.1131241666667</v>
      </c>
      <c r="E49" s="18" t="n">
        <f aca="false">E20+E19-E44-E25-E48</f>
        <v>-15.6283717</v>
      </c>
      <c r="F49" s="18" t="n">
        <f aca="false">F20+F19-F44-F25-F48</f>
        <v>17.684674527</v>
      </c>
    </row>
    <row r="50" customFormat="false" ht="15" hidden="false" customHeight="false" outlineLevel="0" collapsed="false">
      <c r="A50" s="10" t="s">
        <v>543</v>
      </c>
      <c r="B50" s="47" t="n">
        <f aca="false">(Inputs!$E$87+Inputs!$E$88+Inputs!$E$89)*Inputs!$E$90+(Inputs!$B$50+Inputs!$B$51+Inputs!$B$52)/4+B14-B44-Inputs!$E$91</f>
        <v>-32.702</v>
      </c>
      <c r="C50" s="47" t="n">
        <f aca="false">C49+C14+C15</f>
        <v>-43.323008</v>
      </c>
      <c r="D50" s="47" t="n">
        <f aca="false">D49+D14+D15</f>
        <v>-30.2730225666667</v>
      </c>
      <c r="E50" s="47" t="n">
        <f aca="false">E49+E14+E15</f>
        <v>-5.2172785</v>
      </c>
      <c r="F50" s="47" t="n">
        <f aca="false">F49+F14+F15</f>
        <v>29.486950683</v>
      </c>
    </row>
    <row r="51" customFormat="false" ht="15" hidden="false" customHeight="false" outlineLevel="0" collapsed="false">
      <c r="A51" s="10" t="s">
        <v>544</v>
      </c>
      <c r="B51" s="47" t="n">
        <f aca="false">Historicals!$B$36+Historicals!$B$37</f>
        <v>89.855</v>
      </c>
      <c r="C51" s="47" t="n">
        <f aca="false">B62</f>
        <v>57.3061457286432</v>
      </c>
      <c r="D51" s="47" t="n">
        <f aca="false">C62</f>
        <v>13.0598169828735</v>
      </c>
      <c r="E51" s="47" t="n">
        <f aca="false">D62</f>
        <v>10</v>
      </c>
      <c r="F51" s="47" t="n">
        <f aca="false">E62</f>
        <v>10</v>
      </c>
    </row>
    <row r="52" customFormat="false" ht="15" hidden="false" customHeight="false" outlineLevel="0" collapsed="false">
      <c r="A52" s="10" t="s">
        <v>545</v>
      </c>
      <c r="B52" s="47" t="n">
        <f aca="false">Historicals!$B$38</f>
        <v>38.844</v>
      </c>
      <c r="C52" s="47" t="n">
        <f aca="false">B63</f>
        <v>38.844</v>
      </c>
      <c r="D52" s="47" t="n">
        <f aca="false">C63</f>
        <v>38.844</v>
      </c>
      <c r="E52" s="47" t="n">
        <f aca="false">D63</f>
        <v>69.1384262959746</v>
      </c>
      <c r="F52" s="47" t="n">
        <f aca="false">E63</f>
        <v>78.4775763769731</v>
      </c>
    </row>
    <row r="53" customFormat="false" ht="15" hidden="false" customHeight="false" outlineLevel="0" collapsed="false">
      <c r="A53" s="10" t="s">
        <v>546</v>
      </c>
      <c r="B53" s="26" t="n">
        <v>0</v>
      </c>
      <c r="C53" s="47" t="n">
        <f aca="false">Inputs!$B$62</f>
        <v>0</v>
      </c>
      <c r="D53" s="26" t="n">
        <v>0</v>
      </c>
      <c r="E53" s="26" t="n">
        <v>0</v>
      </c>
      <c r="F53" s="26" t="n">
        <v>0</v>
      </c>
    </row>
    <row r="54" customFormat="false" ht="15" hidden="false" customHeight="false" outlineLevel="0" collapsed="false">
      <c r="A54" s="10" t="s">
        <v>547</v>
      </c>
      <c r="B54" s="47" t="n">
        <f aca="false">(B51+B50-B53+Inputs!$B$60/4*B51/2-Inputs!$B$61/4*(B52-B53/2))/(1-Inputs!$B$60/4/2)</f>
        <v>57.3061457286432</v>
      </c>
      <c r="C54" s="47" t="n">
        <f aca="false">(C51+C50-C53+Inputs!$B$60*C51/2-Inputs!$B$61*(C52-C53/2))/(1-Inputs!$B$60/2)</f>
        <v>13.0598169828735</v>
      </c>
      <c r="D54" s="47" t="n">
        <f aca="false">(D51+D50-D53+Inputs!$B$60*D51/2-Inputs!$B$61*(D52-D53/2))/(1-Inputs!$B$60/2)</f>
        <v>-19.6761726980976</v>
      </c>
      <c r="E54" s="47" t="n">
        <f aca="false">(E51+E50-E53+Inputs!$B$60*E51/2-Inputs!$B$61*(E52-E53/2))/(1-Inputs!$B$60/2)</f>
        <v>0.851444818613795</v>
      </c>
      <c r="F54" s="47" t="n">
        <f aca="false">(F51+F50-F53+Inputs!$B$60*F51/2-Inputs!$B$61*(F52-F53/2))/(1-Inputs!$B$60/2)</f>
        <v>35.6921388779404</v>
      </c>
    </row>
    <row r="55" customFormat="false" ht="15" hidden="false" customHeight="false" outlineLevel="0" collapsed="false">
      <c r="A55" s="10" t="s">
        <v>548</v>
      </c>
      <c r="B55" s="47" t="n">
        <f aca="false">IF(B54&gt;=Inputs!$B$66,0,(Inputs!$B$66-B51-B50+B53-Inputs!$B$60/4*(B51+Inputs!$B$66)/2+Inputs!$B$61/4*(B52-B53/2))/(1-Inputs!$B$61/4*Inputs!$B$69/(2*(1-Inputs!$B$70))))</f>
        <v>0</v>
      </c>
      <c r="C55" s="47" t="n">
        <f aca="false">IF(C54&gt;=Inputs!$B$66,0,(Inputs!$B$66-C51-C50+C53-Inputs!$B$60*(C51+Inputs!$B$66)/2+Inputs!$B$61*(C52-C53/2))/(1-Inputs!$B$61*Inputs!$B$69/(2*(1-Inputs!$B$70))))</f>
        <v>0</v>
      </c>
      <c r="D55" s="47" t="n">
        <f aca="false">IF(D54&gt;=Inputs!$B$66,0,(Inputs!$B$66-D51-D50+D53-Inputs!$B$60*(D51+Inputs!$B$66)/2+Inputs!$B$61*(D52-D53/2))/(1-Inputs!$B$61*Inputs!$B$69/(2*(1-Inputs!$B$70))))</f>
        <v>29.9914820330149</v>
      </c>
      <c r="E55" s="47" t="n">
        <f aca="false">IF(E54&gt;=Inputs!$B$66,0,(Inputs!$B$66-E51-E50+E53-Inputs!$B$60*(E51+Inputs!$B$66)/2+Inputs!$B$61*(E52-E53/2))/(1-Inputs!$B$61*Inputs!$B$69/(2*(1-Inputs!$B$70))))</f>
        <v>9.24575858018843</v>
      </c>
      <c r="F55" s="47" t="n">
        <f aca="false">IF(F54&gt;=Inputs!$B$66,0,(Inputs!$B$66-F51-F50+F53-Inputs!$B$60*(F51+Inputs!$B$66)/2+Inputs!$B$61*(F52-F53/2))/(1-Inputs!$B$61*Inputs!$B$69/(2*(1-Inputs!$B$70))))</f>
        <v>0</v>
      </c>
    </row>
    <row r="56" customFormat="false" ht="15" hidden="false" customHeight="false" outlineLevel="0" collapsed="false">
      <c r="A56" s="10" t="s">
        <v>549</v>
      </c>
      <c r="B56" s="47" t="n">
        <f aca="false">B55/(1-Inputs!$B$70)</f>
        <v>0</v>
      </c>
      <c r="C56" s="47" t="n">
        <f aca="false">C55/(1-Inputs!$B$70)</f>
        <v>0</v>
      </c>
      <c r="D56" s="47" t="n">
        <f aca="false">D55/(1-Inputs!$B$70)</f>
        <v>30.2944262959746</v>
      </c>
      <c r="E56" s="47" t="n">
        <f aca="false">E55/(1-Inputs!$B$70)</f>
        <v>9.33915008099842</v>
      </c>
      <c r="F56" s="47" t="n">
        <f aca="false">F55/(1-Inputs!$B$70)</f>
        <v>0</v>
      </c>
    </row>
    <row r="57" customFormat="false" ht="15" hidden="false" customHeight="false" outlineLevel="0" collapsed="false">
      <c r="A57" s="10" t="s">
        <v>550</v>
      </c>
      <c r="B57" s="47" t="n">
        <f aca="false">B56*Inputs!$B$69</f>
        <v>0</v>
      </c>
      <c r="C57" s="47" t="n">
        <f aca="false">C56*Inputs!$B$69</f>
        <v>0</v>
      </c>
      <c r="D57" s="47" t="n">
        <f aca="false">D56*Inputs!$B$69</f>
        <v>30.2944262959746</v>
      </c>
      <c r="E57" s="47" t="n">
        <f aca="false">E56*Inputs!$B$69</f>
        <v>9.33915008099842</v>
      </c>
      <c r="F57" s="47" t="n">
        <f aca="false">F56*Inputs!$B$69</f>
        <v>0</v>
      </c>
    </row>
    <row r="58" customFormat="false" ht="15" hidden="false" customHeight="false" outlineLevel="0" collapsed="false">
      <c r="A58" s="10" t="s">
        <v>551</v>
      </c>
      <c r="B58" s="47" t="n">
        <f aca="false">B56-B57</f>
        <v>0</v>
      </c>
      <c r="C58" s="47" t="n">
        <f aca="false">C56-C57</f>
        <v>0</v>
      </c>
      <c r="D58" s="47" t="n">
        <f aca="false">D56-D57</f>
        <v>0</v>
      </c>
      <c r="E58" s="47" t="n">
        <f aca="false">E56-E57</f>
        <v>0</v>
      </c>
      <c r="F58" s="47" t="n">
        <f aca="false">F56-F57</f>
        <v>0</v>
      </c>
    </row>
    <row r="59" customFormat="false" ht="15" hidden="false" customHeight="false" outlineLevel="0" collapsed="false">
      <c r="A59" s="10" t="s">
        <v>552</v>
      </c>
      <c r="B59" s="47" t="n">
        <f aca="false">B56-B55</f>
        <v>0</v>
      </c>
      <c r="C59" s="47" t="n">
        <f aca="false">C56-C55</f>
        <v>0</v>
      </c>
      <c r="D59" s="47" t="n">
        <f aca="false">D56-D55</f>
        <v>0.302944262959748</v>
      </c>
      <c r="E59" s="47" t="n">
        <f aca="false">E56-E55</f>
        <v>0.0933915008099842</v>
      </c>
      <c r="F59" s="47" t="n">
        <f aca="false">F56-F55</f>
        <v>0</v>
      </c>
    </row>
    <row r="60" customFormat="false" ht="15" hidden="false" customHeight="false" outlineLevel="0" collapsed="false">
      <c r="A60" s="10" t="s">
        <v>553</v>
      </c>
      <c r="B60" s="47" t="n">
        <f aca="false">Inputs!$B$60/4*(B51+B62)/2</f>
        <v>0.735805728643216</v>
      </c>
      <c r="C60" s="47" t="n">
        <f aca="false">Inputs!$B$60*(C51+C62)/2</f>
        <v>1.40731925423034</v>
      </c>
      <c r="D60" s="47" t="n">
        <f aca="false">Inputs!$B$60*(D51+D62)/2</f>
        <v>0.461196339657471</v>
      </c>
      <c r="E60" s="47" t="n">
        <f aca="false">Inputs!$B$60*(E51+E62)/2</f>
        <v>0.4</v>
      </c>
      <c r="F60" s="47" t="n">
        <f aca="false">Inputs!$B$60*(F51+F62)/2</f>
        <v>0.913842777558809</v>
      </c>
    </row>
    <row r="61" customFormat="false" ht="15" hidden="false" customHeight="false" outlineLevel="0" collapsed="false">
      <c r="A61" s="10" t="s">
        <v>554</v>
      </c>
      <c r="B61" s="47" t="n">
        <f aca="false">Inputs!$B$61/4*(B52-B53/2+B57/2)</f>
        <v>0.58266</v>
      </c>
      <c r="C61" s="47" t="n">
        <f aca="false">Inputs!$B$61*(C52-C53/2+C57/2)</f>
        <v>2.33064</v>
      </c>
      <c r="D61" s="47" t="n">
        <f aca="false">Inputs!$B$61*(D52-D53/2+D57/2)</f>
        <v>3.23947278887924</v>
      </c>
      <c r="E61" s="47" t="n">
        <f aca="false">Inputs!$B$61*(E52-E53/2+E57/2)</f>
        <v>4.42848008018843</v>
      </c>
      <c r="F61" s="47" t="n">
        <f aca="false">Inputs!$B$61*(F52-F53/2+F57/2)</f>
        <v>4.70865458261838</v>
      </c>
    </row>
    <row r="62" customFormat="false" ht="15" hidden="false" customHeight="false" outlineLevel="0" collapsed="false">
      <c r="A62" s="13" t="s">
        <v>555</v>
      </c>
      <c r="B62" s="18" t="n">
        <f aca="false">IF(B55&gt;0,Inputs!$B$66,B54)</f>
        <v>57.3061457286432</v>
      </c>
      <c r="C62" s="18" t="n">
        <f aca="false">IF(C55&gt;0,Inputs!$B$66,C54)</f>
        <v>13.0598169828735</v>
      </c>
      <c r="D62" s="18" t="n">
        <f aca="false">IF(D55&gt;0,Inputs!$B$66,D54)</f>
        <v>10</v>
      </c>
      <c r="E62" s="18" t="n">
        <f aca="false">IF(E55&gt;0,Inputs!$B$66,E54)</f>
        <v>10</v>
      </c>
      <c r="F62" s="18" t="n">
        <f aca="false">IF(F55&gt;0,Inputs!$B$66,F54)</f>
        <v>35.6921388779404</v>
      </c>
    </row>
    <row r="63" customFormat="false" ht="15" hidden="false" customHeight="false" outlineLevel="0" collapsed="false">
      <c r="A63" s="10" t="s">
        <v>556</v>
      </c>
      <c r="B63" s="47" t="n">
        <f aca="false">B52-B53+B57</f>
        <v>38.844</v>
      </c>
      <c r="C63" s="47" t="n">
        <f aca="false">C52-C53+C57</f>
        <v>38.844</v>
      </c>
      <c r="D63" s="47" t="n">
        <f aca="false">D52-D53+D57</f>
        <v>69.1384262959746</v>
      </c>
      <c r="E63" s="47" t="n">
        <f aca="false">E52-E53+E57</f>
        <v>78.4775763769731</v>
      </c>
      <c r="F63" s="47" t="n">
        <f aca="false">F52-F53+F57</f>
        <v>78.4775763769731</v>
      </c>
    </row>
    <row r="64" customFormat="false" ht="15" hidden="false" customHeight="false" outlineLevel="0" collapsed="false">
      <c r="A64" s="13" t="s">
        <v>557</v>
      </c>
      <c r="B64" s="18" t="n">
        <f aca="false">B62-B63</f>
        <v>18.4621457286432</v>
      </c>
      <c r="C64" s="18" t="n">
        <f aca="false">C62-C63</f>
        <v>-25.7841830171265</v>
      </c>
      <c r="D64" s="18" t="n">
        <f aca="false">D62-D63</f>
        <v>-59.1384262959746</v>
      </c>
      <c r="E64" s="18" t="n">
        <f aca="false">E62-E63</f>
        <v>-68.4775763769731</v>
      </c>
      <c r="F64" s="18" t="n">
        <f aca="false">F62-F63</f>
        <v>-42.7854374990326</v>
      </c>
    </row>
    <row r="65" customFormat="false" ht="15" hidden="false" customHeight="false" outlineLevel="0" collapsed="false">
      <c r="A65" s="10" t="s">
        <v>558</v>
      </c>
      <c r="B65" s="33" t="n">
        <f aca="false">ROUND(B51+B50-B53+B60-B61+B55-B62,6)</f>
        <v>0</v>
      </c>
      <c r="C65" s="33" t="n">
        <f aca="false">ROUND(C51+C50-C53+C60-C61+C55-C62,6)</f>
        <v>0</v>
      </c>
      <c r="D65" s="33" t="n">
        <f aca="false">ROUND(D51+D50-D53+D60-D61+D55-D62,6)</f>
        <v>0</v>
      </c>
      <c r="E65" s="33" t="n">
        <f aca="false">ROUND(E51+E50-E53+E60-E61+E55-E62,6)</f>
        <v>0</v>
      </c>
      <c r="F65" s="33" t="n">
        <f aca="false">ROUND(F51+F50-F53+F60-F61+F55-F62,6)</f>
        <v>0</v>
      </c>
    </row>
    <row r="66" customFormat="false" ht="15" hidden="false" customHeight="false" outlineLevel="0" collapsed="false">
      <c r="A66" s="10" t="s">
        <v>559</v>
      </c>
      <c r="B66" s="47" t="n">
        <f aca="false">B56</f>
        <v>0</v>
      </c>
      <c r="C66" s="47" t="n">
        <f aca="false">B66+C56</f>
        <v>0</v>
      </c>
      <c r="D66" s="47" t="n">
        <f aca="false">C66+D56</f>
        <v>30.2944262959746</v>
      </c>
      <c r="E66" s="47" t="n">
        <f aca="false">D66+E56</f>
        <v>39.6335763769731</v>
      </c>
      <c r="F66" s="47" t="n">
        <f aca="false">E66+F56</f>
        <v>39.6335763769731</v>
      </c>
    </row>
    <row r="67" customFormat="false" ht="15" hidden="false" customHeight="false" outlineLevel="0" collapsed="false">
      <c r="A67" s="10" t="s">
        <v>560</v>
      </c>
      <c r="B67" s="49" t="str">
        <f aca="false">IF(B66&gt;Inputs!$B$72,"UNFUNDED: above limit",IF(B56&gt;0,"Raising","OK"))</f>
        <v>OK</v>
      </c>
      <c r="C67" s="49" t="str">
        <f aca="false">IF(C66&gt;Inputs!$B$72,"UNFUNDED: above limit",IF(C56&gt;0,"Raising","OK"))</f>
        <v>OK</v>
      </c>
      <c r="D67" s="49" t="str">
        <f aca="false">IF(D66&gt;Inputs!$B$72,"UNFUNDED: above limit",IF(D56&gt;0,"Raising","OK"))</f>
        <v>Raising</v>
      </c>
      <c r="E67" s="49" t="str">
        <f aca="false">IF(E66&gt;Inputs!$B$72,"UNFUNDED: above limit",IF(E56&gt;0,"Raising","OK"))</f>
        <v>Raising</v>
      </c>
      <c r="F67" s="49" t="str">
        <f aca="false">IF(F66&gt;Inputs!$B$72,"UNFUNDED: above limit",IF(F56&gt;0,"Raising","OK"))</f>
        <v>OK</v>
      </c>
    </row>
    <row r="68" customFormat="false" ht="15" hidden="false" customHeight="false" outlineLevel="0" collapsed="false">
      <c r="A68" s="10" t="s">
        <v>561</v>
      </c>
      <c r="B68" s="47" t="n">
        <f aca="false">$F$20</f>
        <v>8.70500316724159</v>
      </c>
    </row>
    <row r="69" customFormat="false" ht="15" hidden="false" customHeight="false" outlineLevel="0" collapsed="false">
      <c r="A69" s="10" t="s">
        <v>562</v>
      </c>
      <c r="B69" s="19" t="n">
        <f aca="false">IF(Inputs!$B$8=1,Inputs!$B$79,IFERROR($F$44/$F$20,0))</f>
        <v>0.2416</v>
      </c>
    </row>
    <row r="70" customFormat="false" ht="15" hidden="false" customHeight="false" outlineLevel="0" collapsed="false">
      <c r="A70" s="10" t="s">
        <v>563</v>
      </c>
      <c r="B70" s="47" t="n">
        <f aca="false">$B$68*(1-$B$69)</f>
        <v>6.60187440203602</v>
      </c>
    </row>
    <row r="71" customFormat="false" ht="15" hidden="false" customHeight="false" outlineLevel="0" collapsed="false">
      <c r="A71" s="10" t="s">
        <v>564</v>
      </c>
      <c r="B71" s="50" t="n">
        <f aca="false">Inputs!$E$117</f>
        <v>20</v>
      </c>
    </row>
    <row r="72" customFormat="false" ht="15" hidden="false" customHeight="false" outlineLevel="0" collapsed="false">
      <c r="A72" s="10" t="s">
        <v>565</v>
      </c>
      <c r="B72" s="47" t="n">
        <f aca="false">$B$70*$B$71*$F$527</f>
        <v>86.9771831207225</v>
      </c>
    </row>
    <row r="73" customFormat="false" ht="15" hidden="false" customHeight="false" outlineLevel="0" collapsed="false">
      <c r="A73" s="10" t="s">
        <v>566</v>
      </c>
      <c r="B73" s="47" t="n">
        <f aca="false">SUMPRODUCT($C$49:$F$49,$C$527:$F$527)</f>
        <v>-76.9053551985049</v>
      </c>
    </row>
    <row r="74" customFormat="false" ht="15" hidden="false" customHeight="false" outlineLevel="0" collapsed="false">
      <c r="A74" s="10" t="s">
        <v>567</v>
      </c>
      <c r="B74" s="18" t="n">
        <f aca="false">$B$72+$B$73</f>
        <v>10.0718279222176</v>
      </c>
    </row>
    <row r="75" customFormat="false" ht="15" hidden="false" customHeight="false" outlineLevel="0" collapsed="false">
      <c r="A75" s="10" t="s">
        <v>568</v>
      </c>
      <c r="B75" s="47" t="n">
        <f aca="false">$B$70+$F$19-$F$25-$F$48</f>
        <v>15.5815457617944</v>
      </c>
    </row>
    <row r="76" customFormat="false" ht="15" hidden="false" customHeight="false" outlineLevel="0" collapsed="false">
      <c r="A76" s="10" t="s">
        <v>569</v>
      </c>
      <c r="B76" s="50" t="n">
        <f aca="false">Inputs!$E$118</f>
        <v>16</v>
      </c>
    </row>
    <row r="77" customFormat="false" ht="15" hidden="false" customHeight="false" outlineLevel="0" collapsed="false">
      <c r="A77" s="10" t="s">
        <v>570</v>
      </c>
      <c r="B77" s="47" t="n">
        <f aca="false">$B$75*$B$76*$F$527</f>
        <v>164.224749093628</v>
      </c>
    </row>
    <row r="78" customFormat="false" ht="15" hidden="false" customHeight="false" outlineLevel="0" collapsed="false">
      <c r="A78" s="10" t="s">
        <v>571</v>
      </c>
      <c r="B78" s="18" t="n">
        <f aca="false">$B$73+$B$77</f>
        <v>87.319393895123</v>
      </c>
    </row>
    <row r="79" customFormat="false" ht="15" hidden="false" customHeight="false" outlineLevel="0" collapsed="false">
      <c r="A79" s="13" t="s">
        <v>572</v>
      </c>
      <c r="B79" s="18" t="n">
        <f aca="false">$B$74*Inputs!$B$7+$B$78*(1-Inputs!$B$7)</f>
        <v>48.6956109086703</v>
      </c>
    </row>
    <row r="80" customFormat="false" ht="15" hidden="false" customHeight="false" outlineLevel="0" collapsed="false">
      <c r="A80" s="10" t="s">
        <v>573</v>
      </c>
      <c r="B80" s="47" t="n">
        <f aca="false">MAX(0,$F$30)</f>
        <v>14.9907731190725</v>
      </c>
      <c r="H80" s="51" t="n">
        <v>1</v>
      </c>
      <c r="I80" s="51" t="n">
        <v>2</v>
      </c>
      <c r="J80" s="51" t="n">
        <v>3</v>
      </c>
      <c r="K80" s="51" t="n">
        <v>4</v>
      </c>
      <c r="L80" s="51" t="n">
        <v>5</v>
      </c>
      <c r="M80" s="51" t="n">
        <v>6</v>
      </c>
      <c r="N80" s="51" t="n">
        <v>7</v>
      </c>
      <c r="O80" s="51" t="n">
        <v>8</v>
      </c>
      <c r="P80" s="51" t="n">
        <v>9</v>
      </c>
      <c r="Q80" s="51" t="n">
        <v>10</v>
      </c>
      <c r="R80" s="51" t="n">
        <v>11</v>
      </c>
      <c r="S80" s="51" t="n">
        <v>12</v>
      </c>
      <c r="T80" s="51" t="n">
        <v>13</v>
      </c>
      <c r="U80" s="51" t="n">
        <v>14</v>
      </c>
      <c r="V80" s="51" t="n">
        <v>15</v>
      </c>
      <c r="W80" s="51" t="n">
        <v>16</v>
      </c>
      <c r="X80" s="51" t="n">
        <v>17</v>
      </c>
      <c r="Y80" s="51" t="n">
        <v>18</v>
      </c>
      <c r="Z80" s="51" t="n">
        <v>19</v>
      </c>
      <c r="AA80" s="51" t="n">
        <v>20</v>
      </c>
      <c r="AB80" s="51" t="n">
        <v>21</v>
      </c>
      <c r="AC80" s="51" t="n">
        <v>22</v>
      </c>
      <c r="AD80" s="51" t="n">
        <v>23</v>
      </c>
      <c r="AE80" s="51" t="n">
        <v>24</v>
      </c>
      <c r="AF80" s="51" t="n">
        <v>25</v>
      </c>
      <c r="AG80" s="51" t="n">
        <v>26</v>
      </c>
      <c r="AH80" s="51" t="n">
        <v>27</v>
      </c>
      <c r="AI80" s="51" t="n">
        <v>28</v>
      </c>
      <c r="AJ80" s="51" t="n">
        <v>29</v>
      </c>
      <c r="AK80" s="51" t="n">
        <v>30</v>
      </c>
    </row>
    <row r="81" customFormat="false" ht="15" hidden="false" customHeight="false" outlineLevel="0" collapsed="false">
      <c r="A81" s="10" t="s">
        <v>574</v>
      </c>
      <c r="H81" s="25" t="n">
        <f aca="false">1/(1+Inputs!$B$6)^1</f>
        <v>0.900900900900901</v>
      </c>
      <c r="I81" s="25" t="n">
        <f aca="false">1/(1+Inputs!$B$6)^2</f>
        <v>0.811622433244055</v>
      </c>
      <c r="J81" s="25" t="n">
        <f aca="false">1/(1+Inputs!$B$6)^3</f>
        <v>0.73119138130095</v>
      </c>
      <c r="K81" s="25" t="n">
        <f aca="false">1/(1+Inputs!$B$6)^4</f>
        <v>0.658730974145</v>
      </c>
      <c r="L81" s="25" t="n">
        <f aca="false">1/(1+Inputs!$B$6)^5</f>
        <v>0.593451328058559</v>
      </c>
      <c r="M81" s="25" t="n">
        <f aca="false">1/(1+Inputs!$B$6)^6</f>
        <v>0.534640836088791</v>
      </c>
      <c r="N81" s="25" t="n">
        <f aca="false">1/(1+Inputs!$B$6)^7</f>
        <v>0.481658410890803</v>
      </c>
      <c r="O81" s="25" t="n">
        <f aca="false">1/(1+Inputs!$B$6)^8</f>
        <v>0.433926496298021</v>
      </c>
      <c r="P81" s="25" t="n">
        <f aca="false">1/(1+Inputs!$B$6)^9</f>
        <v>0.390924771439658</v>
      </c>
      <c r="Q81" s="25" t="n">
        <f aca="false">1/(1+Inputs!$B$6)^10</f>
        <v>0.352184478774467</v>
      </c>
      <c r="R81" s="25" t="n">
        <f aca="false">1/(1+Inputs!$B$6)^11</f>
        <v>0.317283314211231</v>
      </c>
      <c r="S81" s="25" t="n">
        <f aca="false">1/(1+Inputs!$B$6)^12</f>
        <v>0.285840823613722</v>
      </c>
      <c r="T81" s="25" t="n">
        <f aca="false">1/(1+Inputs!$B$6)^13</f>
        <v>0.257514255507858</v>
      </c>
      <c r="U81" s="25" t="n">
        <f aca="false">1/(1+Inputs!$B$6)^14</f>
        <v>0.231994824781854</v>
      </c>
      <c r="V81" s="25" t="n">
        <f aca="false">1/(1+Inputs!$B$6)^15</f>
        <v>0.209004346650319</v>
      </c>
      <c r="W81" s="25" t="n">
        <f aca="false">1/(1+Inputs!$B$6)^16</f>
        <v>0.188292204189476</v>
      </c>
      <c r="X81" s="25" t="n">
        <f aca="false">1/(1+Inputs!$B$6)^17</f>
        <v>0.169632616386915</v>
      </c>
      <c r="Y81" s="25" t="n">
        <f aca="false">1/(1+Inputs!$B$6)^18</f>
        <v>0.152822176925149</v>
      </c>
      <c r="Z81" s="25" t="n">
        <f aca="false">1/(1+Inputs!$B$6)^19</f>
        <v>0.137677636869504</v>
      </c>
      <c r="AA81" s="25" t="n">
        <f aca="false">1/(1+Inputs!$B$6)^20</f>
        <v>0.124033907089643</v>
      </c>
      <c r="AB81" s="25" t="n">
        <f aca="false">1/(1+Inputs!$B$6)^21</f>
        <v>0.111742258639318</v>
      </c>
      <c r="AC81" s="25" t="n">
        <f aca="false">1/(1+Inputs!$B$6)^22</f>
        <v>0.100668701476863</v>
      </c>
      <c r="AD81" s="25" t="n">
        <f aca="false">1/(1+Inputs!$B$6)^23</f>
        <v>0.0906925238530297</v>
      </c>
      <c r="AE81" s="25" t="n">
        <f aca="false">1/(1+Inputs!$B$6)^24</f>
        <v>0.0817049764441709</v>
      </c>
      <c r="AF81" s="25" t="n">
        <f aca="false">1/(1+Inputs!$B$6)^25</f>
        <v>0.0736080868866405</v>
      </c>
      <c r="AG81" s="25" t="n">
        <f aca="false">1/(1+Inputs!$B$6)^26</f>
        <v>0.0663135917897662</v>
      </c>
      <c r="AH81" s="25" t="n">
        <f aca="false">1/(1+Inputs!$B$6)^27</f>
        <v>0.0597419745853749</v>
      </c>
      <c r="AI81" s="25" t="n">
        <f aca="false">1/(1+Inputs!$B$6)^28</f>
        <v>0.053821598725563</v>
      </c>
      <c r="AJ81" s="25" t="n">
        <f aca="false">1/(1+Inputs!$B$6)^29</f>
        <v>0.0484879267797865</v>
      </c>
      <c r="AK81" s="25" t="n">
        <f aca="false">1/(1+Inputs!$B$6)^30</f>
        <v>0.0436828169187266</v>
      </c>
    </row>
    <row r="82" customFormat="false" ht="15" hidden="false" customHeight="false" outlineLevel="0" collapsed="false">
      <c r="A82" s="10" t="s">
        <v>575</v>
      </c>
      <c r="G82" s="47" t="n">
        <f aca="false">$F$33</f>
        <v>40.3519268809275</v>
      </c>
      <c r="H82" s="47" t="n">
        <f aca="false">G82</f>
        <v>40.3519268809275</v>
      </c>
      <c r="I82" s="47" t="n">
        <f aca="false">H82-H83</f>
        <v>25.361153761855</v>
      </c>
      <c r="J82" s="47" t="n">
        <f aca="false">I82-I83</f>
        <v>10.3703806427826</v>
      </c>
      <c r="K82" s="47" t="n">
        <f aca="false">J82-J83</f>
        <v>0</v>
      </c>
      <c r="L82" s="47" t="n">
        <f aca="false">K82-K83</f>
        <v>0</v>
      </c>
      <c r="M82" s="47" t="n">
        <f aca="false">L82-L83</f>
        <v>0</v>
      </c>
      <c r="N82" s="47" t="n">
        <f aca="false">M82-M83</f>
        <v>0</v>
      </c>
      <c r="O82" s="47" t="n">
        <f aca="false">N82-N83</f>
        <v>0</v>
      </c>
      <c r="P82" s="47" t="n">
        <f aca="false">O82-O83</f>
        <v>0</v>
      </c>
      <c r="Q82" s="47" t="n">
        <f aca="false">P82-P83</f>
        <v>0</v>
      </c>
      <c r="R82" s="47" t="n">
        <f aca="false">Q82-Q83</f>
        <v>0</v>
      </c>
      <c r="S82" s="47" t="n">
        <f aca="false">R82-R83</f>
        <v>0</v>
      </c>
      <c r="T82" s="47" t="n">
        <f aca="false">S82-S83</f>
        <v>0</v>
      </c>
      <c r="U82" s="47" t="n">
        <f aca="false">T82-T83</f>
        <v>0</v>
      </c>
      <c r="V82" s="47" t="n">
        <f aca="false">U82-U83</f>
        <v>0</v>
      </c>
      <c r="W82" s="47" t="n">
        <f aca="false">V82-V83</f>
        <v>0</v>
      </c>
      <c r="X82" s="47" t="n">
        <f aca="false">W82-W83</f>
        <v>0</v>
      </c>
      <c r="Y82" s="47" t="n">
        <f aca="false">X82-X83</f>
        <v>0</v>
      </c>
      <c r="Z82" s="47" t="n">
        <f aca="false">Y82-Y83</f>
        <v>0</v>
      </c>
      <c r="AA82" s="47" t="n">
        <f aca="false">Z82-Z83</f>
        <v>0</v>
      </c>
      <c r="AB82" s="47" t="n">
        <f aca="false">AA82-AA83</f>
        <v>0</v>
      </c>
      <c r="AC82" s="47" t="n">
        <f aca="false">AB82-AB83</f>
        <v>0</v>
      </c>
      <c r="AD82" s="47" t="n">
        <f aca="false">AC82-AC83</f>
        <v>0</v>
      </c>
      <c r="AE82" s="47" t="n">
        <f aca="false">AD82-AD83</f>
        <v>0</v>
      </c>
      <c r="AF82" s="47" t="n">
        <f aca="false">AE82-AE83</f>
        <v>0</v>
      </c>
      <c r="AG82" s="47" t="n">
        <f aca="false">AF82-AF83</f>
        <v>0</v>
      </c>
      <c r="AH82" s="47" t="n">
        <f aca="false">AG82-AG83</f>
        <v>0</v>
      </c>
      <c r="AI82" s="47" t="n">
        <f aca="false">AH82-AH83</f>
        <v>0</v>
      </c>
      <c r="AJ82" s="47" t="n">
        <f aca="false">AI82-AI83</f>
        <v>0</v>
      </c>
      <c r="AK82" s="47" t="n">
        <f aca="false">AJ82-AJ83</f>
        <v>0</v>
      </c>
    </row>
    <row r="83" customFormat="false" ht="15" hidden="false" customHeight="false" outlineLevel="0" collapsed="false">
      <c r="A83" s="10" t="s">
        <v>576</v>
      </c>
      <c r="H83" s="47" t="n">
        <f aca="false">IF(1&lt;=Inputs!$B$44,MIN(H82,$B$80,Inputs!$B$36),0)</f>
        <v>14.9907731190725</v>
      </c>
      <c r="I83" s="47" t="n">
        <f aca="false">IF(2&lt;=Inputs!$B$44,MIN(I82,$B$80,Inputs!$B$36),0)</f>
        <v>14.9907731190725</v>
      </c>
      <c r="J83" s="47" t="n">
        <f aca="false">IF(3&lt;=Inputs!$B$44,MIN(J82,$B$80,Inputs!$B$36),0)</f>
        <v>10.3703806427826</v>
      </c>
      <c r="K83" s="47" t="n">
        <f aca="false">IF(4&lt;=Inputs!$B$44,MIN(K82,$B$80,Inputs!$B$36),0)</f>
        <v>0</v>
      </c>
      <c r="L83" s="47" t="n">
        <f aca="false">IF(5&lt;=Inputs!$B$44,MIN(L82,$B$80,Inputs!$B$36),0)</f>
        <v>0</v>
      </c>
      <c r="M83" s="47" t="n">
        <f aca="false">IF(6&lt;=Inputs!$B$44,MIN(M82,$B$80,Inputs!$B$36),0)</f>
        <v>0</v>
      </c>
      <c r="N83" s="47" t="n">
        <f aca="false">IF(7&lt;=Inputs!$B$44,MIN(N82,$B$80,Inputs!$B$36),0)</f>
        <v>0</v>
      </c>
      <c r="O83" s="47" t="n">
        <f aca="false">IF(8&lt;=Inputs!$B$44,MIN(O82,$B$80,Inputs!$B$36),0)</f>
        <v>0</v>
      </c>
      <c r="P83" s="47" t="n">
        <f aca="false">IF(9&lt;=Inputs!$B$44,MIN(P82,$B$80,Inputs!$B$36),0)</f>
        <v>0</v>
      </c>
      <c r="Q83" s="47" t="n">
        <f aca="false">IF(10&lt;=Inputs!$B$44,MIN(Q82,$B$80,Inputs!$B$36),0)</f>
        <v>0</v>
      </c>
      <c r="R83" s="47" t="n">
        <f aca="false">IF(11&lt;=Inputs!$B$44,MIN(R82,$B$80,Inputs!$B$36),0)</f>
        <v>0</v>
      </c>
      <c r="S83" s="47" t="n">
        <f aca="false">IF(12&lt;=Inputs!$B$44,MIN(S82,$B$80,Inputs!$B$36),0)</f>
        <v>0</v>
      </c>
      <c r="T83" s="47" t="n">
        <f aca="false">IF(13&lt;=Inputs!$B$44,MIN(T82,$B$80,Inputs!$B$36),0)</f>
        <v>0</v>
      </c>
      <c r="U83" s="47" t="n">
        <f aca="false">IF(14&lt;=Inputs!$B$44,MIN(U82,$B$80,Inputs!$B$36),0)</f>
        <v>0</v>
      </c>
      <c r="V83" s="47" t="n">
        <f aca="false">IF(15&lt;=Inputs!$B$44,MIN(V82,$B$80,Inputs!$B$36),0)</f>
        <v>0</v>
      </c>
      <c r="W83" s="47" t="n">
        <f aca="false">IF(16&lt;=Inputs!$B$44,MIN(W82,$B$80,Inputs!$B$36),0)</f>
        <v>0</v>
      </c>
      <c r="X83" s="47" t="n">
        <f aca="false">IF(17&lt;=Inputs!$B$44,MIN(X82,$B$80,Inputs!$B$36),0)</f>
        <v>0</v>
      </c>
      <c r="Y83" s="47" t="n">
        <f aca="false">IF(18&lt;=Inputs!$B$44,MIN(Y82,$B$80,Inputs!$B$36),0)</f>
        <v>0</v>
      </c>
      <c r="Z83" s="47" t="n">
        <f aca="false">IF(19&lt;=Inputs!$B$44,MIN(Z82,$B$80,Inputs!$B$36),0)</f>
        <v>0</v>
      </c>
      <c r="AA83" s="47" t="n">
        <f aca="false">IF(20&lt;=Inputs!$B$44,MIN(AA82,$B$80,Inputs!$B$36),0)</f>
        <v>0</v>
      </c>
      <c r="AB83" s="47" t="n">
        <f aca="false">IF(21&lt;=Inputs!$B$44,MIN(AB82,$B$80,Inputs!$B$36),0)</f>
        <v>0</v>
      </c>
      <c r="AC83" s="47" t="n">
        <f aca="false">IF(22&lt;=Inputs!$B$44,MIN(AC82,$B$80,Inputs!$B$36),0)</f>
        <v>0</v>
      </c>
      <c r="AD83" s="47" t="n">
        <f aca="false">IF(23&lt;=Inputs!$B$44,MIN(AD82,$B$80,Inputs!$B$36),0)</f>
        <v>0</v>
      </c>
      <c r="AE83" s="47" t="n">
        <f aca="false">IF(24&lt;=Inputs!$B$44,MIN(AE82,$B$80,Inputs!$B$36),0)</f>
        <v>0</v>
      </c>
      <c r="AF83" s="47" t="n">
        <f aca="false">IF(25&lt;=Inputs!$B$44,MIN(AF82,$B$80,Inputs!$B$36),0)</f>
        <v>0</v>
      </c>
      <c r="AG83" s="47" t="n">
        <f aca="false">IF(26&lt;=Inputs!$B$44,MIN(AG82,$B$80,Inputs!$B$36),0)</f>
        <v>0</v>
      </c>
      <c r="AH83" s="47" t="n">
        <f aca="false">IF(27&lt;=Inputs!$B$44,MIN(AH82,$B$80,Inputs!$B$36),0)</f>
        <v>0</v>
      </c>
      <c r="AI83" s="47" t="n">
        <f aca="false">IF(28&lt;=Inputs!$B$44,MIN(AI82,$B$80,Inputs!$B$36),0)</f>
        <v>0</v>
      </c>
      <c r="AJ83" s="47" t="n">
        <f aca="false">IF(29&lt;=Inputs!$B$44,MIN(AJ82,$B$80,Inputs!$B$36),0)</f>
        <v>0</v>
      </c>
      <c r="AK83" s="47" t="n">
        <f aca="false">IF(30&lt;=Inputs!$B$44,MIN(AK82,$B$80,Inputs!$B$36),0)</f>
        <v>0</v>
      </c>
    </row>
    <row r="84" customFormat="false" ht="15" hidden="false" customHeight="false" outlineLevel="0" collapsed="false">
      <c r="A84" s="10" t="s">
        <v>577</v>
      </c>
      <c r="G84" s="47" t="n">
        <f aca="false">$F$34</f>
        <v>64.3546276797703</v>
      </c>
      <c r="H84" s="47" t="n">
        <f aca="false">G84</f>
        <v>64.3546276797703</v>
      </c>
      <c r="I84" s="47" t="n">
        <f aca="false">H84-H85</f>
        <v>64.3546276797703</v>
      </c>
      <c r="J84" s="47" t="n">
        <f aca="false">I84-I85</f>
        <v>64.3546276797703</v>
      </c>
      <c r="K84" s="47" t="n">
        <f aca="false">J84-J85</f>
        <v>59.7342352034804</v>
      </c>
      <c r="L84" s="47" t="n">
        <f aca="false">K84-K85</f>
        <v>44.7434620844079</v>
      </c>
      <c r="M84" s="47" t="n">
        <f aca="false">L84-L85</f>
        <v>29.7526889653354</v>
      </c>
      <c r="N84" s="47" t="n">
        <f aca="false">M84-M85</f>
        <v>29.7526889653354</v>
      </c>
      <c r="O84" s="47" t="n">
        <f aca="false">N84-N85</f>
        <v>29.7526889653354</v>
      </c>
      <c r="P84" s="47" t="n">
        <f aca="false">O84-O85</f>
        <v>29.7526889653354</v>
      </c>
      <c r="Q84" s="47" t="n">
        <f aca="false">P84-P85</f>
        <v>29.7526889653354</v>
      </c>
      <c r="R84" s="47" t="n">
        <f aca="false">Q84-Q85</f>
        <v>29.7526889653354</v>
      </c>
      <c r="S84" s="47" t="n">
        <f aca="false">R84-R85</f>
        <v>29.7526889653354</v>
      </c>
      <c r="T84" s="47" t="n">
        <f aca="false">S84-S85</f>
        <v>29.7526889653354</v>
      </c>
      <c r="U84" s="47" t="n">
        <f aca="false">T84-T85</f>
        <v>29.7526889653354</v>
      </c>
      <c r="V84" s="47" t="n">
        <f aca="false">U84-U85</f>
        <v>29.7526889653354</v>
      </c>
      <c r="W84" s="47" t="n">
        <f aca="false">V84-V85</f>
        <v>29.7526889653354</v>
      </c>
      <c r="X84" s="47" t="n">
        <f aca="false">W84-W85</f>
        <v>29.7526889653354</v>
      </c>
      <c r="Y84" s="47" t="n">
        <f aca="false">X84-X85</f>
        <v>29.7526889653354</v>
      </c>
      <c r="Z84" s="47" t="n">
        <f aca="false">Y84-Y85</f>
        <v>29.7526889653354</v>
      </c>
      <c r="AA84" s="47" t="n">
        <f aca="false">Z84-Z85</f>
        <v>29.7526889653354</v>
      </c>
      <c r="AB84" s="47" t="n">
        <f aca="false">AA84-AA85</f>
        <v>29.7526889653354</v>
      </c>
      <c r="AC84" s="47" t="n">
        <f aca="false">AB84-AB85</f>
        <v>29.7526889653354</v>
      </c>
      <c r="AD84" s="47" t="n">
        <f aca="false">AC84-AC85</f>
        <v>29.7526889653354</v>
      </c>
      <c r="AE84" s="47" t="n">
        <f aca="false">AD84-AD85</f>
        <v>29.7526889653354</v>
      </c>
      <c r="AF84" s="47" t="n">
        <f aca="false">AE84-AE85</f>
        <v>29.7526889653354</v>
      </c>
      <c r="AG84" s="47" t="n">
        <f aca="false">AF84-AF85</f>
        <v>29.7526889653354</v>
      </c>
      <c r="AH84" s="47" t="n">
        <f aca="false">AG84-AG85</f>
        <v>29.7526889653354</v>
      </c>
      <c r="AI84" s="47" t="n">
        <f aca="false">AH84-AH85</f>
        <v>29.7526889653354</v>
      </c>
      <c r="AJ84" s="47" t="n">
        <f aca="false">AI84-AI85</f>
        <v>29.7526889653354</v>
      </c>
      <c r="AK84" s="47" t="n">
        <f aca="false">AJ84-AJ85</f>
        <v>29.7526889653354</v>
      </c>
    </row>
    <row r="85" customFormat="false" ht="15" hidden="false" customHeight="false" outlineLevel="0" collapsed="false">
      <c r="A85" s="10" t="s">
        <v>576</v>
      </c>
      <c r="H85" s="47" t="n">
        <f aca="false">IF(1&lt;=Inputs!$B$44,MIN(H84,$B$80-H83),0)</f>
        <v>0</v>
      </c>
      <c r="I85" s="47" t="n">
        <f aca="false">IF(2&lt;=Inputs!$B$44,MIN(I84,$B$80-I83),0)</f>
        <v>0</v>
      </c>
      <c r="J85" s="47" t="n">
        <f aca="false">IF(3&lt;=Inputs!$B$44,MIN(J84,$B$80-J83),0)</f>
        <v>4.62039247628992</v>
      </c>
      <c r="K85" s="47" t="n">
        <f aca="false">IF(4&lt;=Inputs!$B$44,MIN(K84,$B$80-K83),0)</f>
        <v>14.9907731190725</v>
      </c>
      <c r="L85" s="47" t="n">
        <f aca="false">IF(5&lt;=Inputs!$B$44,MIN(L84,$B$80-L83),0)</f>
        <v>14.9907731190725</v>
      </c>
      <c r="M85" s="47" t="n">
        <f aca="false">IF(6&lt;=Inputs!$B$44,MIN(M84,$B$80-M83),0)</f>
        <v>0</v>
      </c>
      <c r="N85" s="47" t="n">
        <f aca="false">IF(7&lt;=Inputs!$B$44,MIN(N84,$B$80-N83),0)</f>
        <v>0</v>
      </c>
      <c r="O85" s="47" t="n">
        <f aca="false">IF(8&lt;=Inputs!$B$44,MIN(O84,$B$80-O83),0)</f>
        <v>0</v>
      </c>
      <c r="P85" s="47" t="n">
        <f aca="false">IF(9&lt;=Inputs!$B$44,MIN(P84,$B$80-P83),0)</f>
        <v>0</v>
      </c>
      <c r="Q85" s="47" t="n">
        <f aca="false">IF(10&lt;=Inputs!$B$44,MIN(Q84,$B$80-Q83),0)</f>
        <v>0</v>
      </c>
      <c r="R85" s="47" t="n">
        <f aca="false">IF(11&lt;=Inputs!$B$44,MIN(R84,$B$80-R83),0)</f>
        <v>0</v>
      </c>
      <c r="S85" s="47" t="n">
        <f aca="false">IF(12&lt;=Inputs!$B$44,MIN(S84,$B$80-S83),0)</f>
        <v>0</v>
      </c>
      <c r="T85" s="47" t="n">
        <f aca="false">IF(13&lt;=Inputs!$B$44,MIN(T84,$B$80-T83),0)</f>
        <v>0</v>
      </c>
      <c r="U85" s="47" t="n">
        <f aca="false">IF(14&lt;=Inputs!$B$44,MIN(U84,$B$80-U83),0)</f>
        <v>0</v>
      </c>
      <c r="V85" s="47" t="n">
        <f aca="false">IF(15&lt;=Inputs!$B$44,MIN(V84,$B$80-V83),0)</f>
        <v>0</v>
      </c>
      <c r="W85" s="47" t="n">
        <f aca="false">IF(16&lt;=Inputs!$B$44,MIN(W84,$B$80-W83),0)</f>
        <v>0</v>
      </c>
      <c r="X85" s="47" t="n">
        <f aca="false">IF(17&lt;=Inputs!$B$44,MIN(X84,$B$80-X83),0)</f>
        <v>0</v>
      </c>
      <c r="Y85" s="47" t="n">
        <f aca="false">IF(18&lt;=Inputs!$B$44,MIN(Y84,$B$80-Y83),0)</f>
        <v>0</v>
      </c>
      <c r="Z85" s="47" t="n">
        <f aca="false">IF(19&lt;=Inputs!$B$44,MIN(Z84,$B$80-Z83),0)</f>
        <v>0</v>
      </c>
      <c r="AA85" s="47" t="n">
        <f aca="false">IF(20&lt;=Inputs!$B$44,MIN(AA84,$B$80-AA83),0)</f>
        <v>0</v>
      </c>
      <c r="AB85" s="47" t="n">
        <f aca="false">IF(21&lt;=Inputs!$B$44,MIN(AB84,$B$80-AB83),0)</f>
        <v>0</v>
      </c>
      <c r="AC85" s="47" t="n">
        <f aca="false">IF(22&lt;=Inputs!$B$44,MIN(AC84,$B$80-AC83),0)</f>
        <v>0</v>
      </c>
      <c r="AD85" s="47" t="n">
        <f aca="false">IF(23&lt;=Inputs!$B$44,MIN(AD84,$B$80-AD83),0)</f>
        <v>0</v>
      </c>
      <c r="AE85" s="47" t="n">
        <f aca="false">IF(24&lt;=Inputs!$B$44,MIN(AE84,$B$80-AE83),0)</f>
        <v>0</v>
      </c>
      <c r="AF85" s="47" t="n">
        <f aca="false">IF(25&lt;=Inputs!$B$44,MIN(AF84,$B$80-AF83),0)</f>
        <v>0</v>
      </c>
      <c r="AG85" s="47" t="n">
        <f aca="false">IF(26&lt;=Inputs!$B$44,MIN(AG84,$B$80-AG83),0)</f>
        <v>0</v>
      </c>
      <c r="AH85" s="47" t="n">
        <f aca="false">IF(27&lt;=Inputs!$B$44,MIN(AH84,$B$80-AH83),0)</f>
        <v>0</v>
      </c>
      <c r="AI85" s="47" t="n">
        <f aca="false">IF(28&lt;=Inputs!$B$44,MIN(AI84,$B$80-AI83),0)</f>
        <v>0</v>
      </c>
      <c r="AJ85" s="47" t="n">
        <f aca="false">IF(29&lt;=Inputs!$B$44,MIN(AJ84,$B$80-AJ83),0)</f>
        <v>0</v>
      </c>
      <c r="AK85" s="47" t="n">
        <f aca="false">IF(30&lt;=Inputs!$B$44,MIN(AK84,$B$80-AK83),0)</f>
        <v>0</v>
      </c>
    </row>
    <row r="86" customFormat="false" ht="15" hidden="false" customHeight="false" outlineLevel="0" collapsed="false">
      <c r="A86" s="10" t="s">
        <v>578</v>
      </c>
      <c r="H86" s="47" t="n">
        <f aca="false">($B$80-H83-H85)*Inputs!$B$34</f>
        <v>0</v>
      </c>
      <c r="I86" s="47" t="n">
        <f aca="false">($B$80-I83-I85)*Inputs!$B$34</f>
        <v>0</v>
      </c>
      <c r="J86" s="47" t="n">
        <f aca="false">($B$80-J83-J85)*Inputs!$B$34</f>
        <v>0</v>
      </c>
      <c r="K86" s="47" t="n">
        <f aca="false">($B$80-K83-K85)*Inputs!$B$34</f>
        <v>0</v>
      </c>
      <c r="L86" s="47" t="n">
        <f aca="false">($B$80-L83-L85)*Inputs!$B$34</f>
        <v>0</v>
      </c>
      <c r="M86" s="47" t="n">
        <f aca="false">($B$80-M83-M85)*Inputs!$B$34</f>
        <v>0.599630924762899</v>
      </c>
      <c r="N86" s="47" t="n">
        <f aca="false">($B$80-N83-N85)*Inputs!$B$34</f>
        <v>0.599630924762899</v>
      </c>
      <c r="O86" s="47" t="n">
        <f aca="false">($B$80-O83-O85)*Inputs!$B$34</f>
        <v>0.599630924762899</v>
      </c>
      <c r="P86" s="47" t="n">
        <f aca="false">($B$80-P83-P85)*Inputs!$B$34</f>
        <v>0.599630924762899</v>
      </c>
      <c r="Q86" s="47" t="n">
        <f aca="false">($B$80-Q83-Q85)*Inputs!$B$34</f>
        <v>0.599630924762899</v>
      </c>
      <c r="R86" s="47" t="n">
        <f aca="false">($B$80-R83-R85)*Inputs!$B$34</f>
        <v>0.599630924762899</v>
      </c>
      <c r="S86" s="47" t="n">
        <f aca="false">($B$80-S83-S85)*Inputs!$B$34</f>
        <v>0.599630924762899</v>
      </c>
      <c r="T86" s="47" t="n">
        <f aca="false">($B$80-T83-T85)*Inputs!$B$34</f>
        <v>0.599630924762899</v>
      </c>
      <c r="U86" s="47" t="n">
        <f aca="false">($B$80-U83-U85)*Inputs!$B$34</f>
        <v>0.599630924762899</v>
      </c>
      <c r="V86" s="47" t="n">
        <f aca="false">($B$80-V83-V85)*Inputs!$B$34</f>
        <v>0.599630924762899</v>
      </c>
      <c r="W86" s="47" t="n">
        <f aca="false">($B$80-W83-W85)*Inputs!$B$34</f>
        <v>0.599630924762899</v>
      </c>
      <c r="X86" s="47" t="n">
        <f aca="false">($B$80-X83-X85)*Inputs!$B$34</f>
        <v>0.599630924762899</v>
      </c>
      <c r="Y86" s="47" t="n">
        <f aca="false">($B$80-Y83-Y85)*Inputs!$B$34</f>
        <v>0.599630924762899</v>
      </c>
      <c r="Z86" s="47" t="n">
        <f aca="false">($B$80-Z83-Z85)*Inputs!$B$34</f>
        <v>0.599630924762899</v>
      </c>
      <c r="AA86" s="47" t="n">
        <f aca="false">($B$80-AA83-AA85)*Inputs!$B$34</f>
        <v>0.599630924762899</v>
      </c>
      <c r="AB86" s="47" t="n">
        <f aca="false">($B$80-AB83-AB85)*Inputs!$B$34</f>
        <v>0.599630924762899</v>
      </c>
      <c r="AC86" s="47" t="n">
        <f aca="false">($B$80-AC83-AC85)*Inputs!$B$34</f>
        <v>0.599630924762899</v>
      </c>
      <c r="AD86" s="47" t="n">
        <f aca="false">($B$80-AD83-AD85)*Inputs!$B$34</f>
        <v>0.599630924762899</v>
      </c>
      <c r="AE86" s="47" t="n">
        <f aca="false">($B$80-AE83-AE85)*Inputs!$B$34</f>
        <v>0.599630924762899</v>
      </c>
      <c r="AF86" s="47" t="n">
        <f aca="false">($B$80-AF83-AF85)*Inputs!$B$34</f>
        <v>0.599630924762899</v>
      </c>
      <c r="AG86" s="47" t="n">
        <f aca="false">($B$80-AG83-AG85)*Inputs!$B$34</f>
        <v>0.599630924762899</v>
      </c>
      <c r="AH86" s="47" t="n">
        <f aca="false">($B$80-AH83-AH85)*Inputs!$B$34</f>
        <v>0.599630924762899</v>
      </c>
      <c r="AI86" s="47" t="n">
        <f aca="false">($B$80-AI83-AI85)*Inputs!$B$34</f>
        <v>0.599630924762899</v>
      </c>
      <c r="AJ86" s="47" t="n">
        <f aca="false">($B$80-AJ83-AJ85)*Inputs!$B$34</f>
        <v>0.599630924762899</v>
      </c>
      <c r="AK86" s="47" t="n">
        <f aca="false">($B$80-AK83-AK85)*Inputs!$B$34</f>
        <v>0.599630924762899</v>
      </c>
    </row>
    <row r="87" customFormat="false" ht="15" hidden="false" customHeight="false" outlineLevel="0" collapsed="false">
      <c r="A87" s="10" t="s">
        <v>579</v>
      </c>
      <c r="H87" s="47" t="n">
        <f aca="false">$B$80-H86</f>
        <v>14.9907731190725</v>
      </c>
      <c r="I87" s="47" t="n">
        <f aca="false">$B$80-I86</f>
        <v>14.9907731190725</v>
      </c>
      <c r="J87" s="47" t="n">
        <f aca="false">$B$80-J86</f>
        <v>14.9907731190725</v>
      </c>
      <c r="K87" s="47" t="n">
        <f aca="false">$B$80-K86</f>
        <v>14.9907731190725</v>
      </c>
      <c r="L87" s="47" t="n">
        <f aca="false">$B$80-L86</f>
        <v>14.9907731190725</v>
      </c>
      <c r="M87" s="47" t="n">
        <f aca="false">$B$80-M86</f>
        <v>14.3911421943096</v>
      </c>
      <c r="N87" s="47" t="n">
        <f aca="false">$B$80-N86</f>
        <v>14.3911421943096</v>
      </c>
      <c r="O87" s="47" t="n">
        <f aca="false">$B$80-O86</f>
        <v>14.3911421943096</v>
      </c>
      <c r="P87" s="47" t="n">
        <f aca="false">$B$80-P86</f>
        <v>14.3911421943096</v>
      </c>
      <c r="Q87" s="47" t="n">
        <f aca="false">$B$80-Q86</f>
        <v>14.3911421943096</v>
      </c>
      <c r="R87" s="47" t="n">
        <f aca="false">$B$80-R86</f>
        <v>14.3911421943096</v>
      </c>
      <c r="S87" s="47" t="n">
        <f aca="false">$B$80-S86</f>
        <v>14.3911421943096</v>
      </c>
      <c r="T87" s="47" t="n">
        <f aca="false">$B$80-T86</f>
        <v>14.3911421943096</v>
      </c>
      <c r="U87" s="47" t="n">
        <f aca="false">$B$80-U86</f>
        <v>14.3911421943096</v>
      </c>
      <c r="V87" s="47" t="n">
        <f aca="false">$B$80-V86</f>
        <v>14.3911421943096</v>
      </c>
      <c r="W87" s="47" t="n">
        <f aca="false">$B$80-W86</f>
        <v>14.3911421943096</v>
      </c>
      <c r="X87" s="47" t="n">
        <f aca="false">$B$80-X86</f>
        <v>14.3911421943096</v>
      </c>
      <c r="Y87" s="47" t="n">
        <f aca="false">$B$80-Y86</f>
        <v>14.3911421943096</v>
      </c>
      <c r="Z87" s="47" t="n">
        <f aca="false">$B$80-Z86</f>
        <v>14.3911421943096</v>
      </c>
      <c r="AA87" s="47" t="n">
        <f aca="false">$B$80-AA86</f>
        <v>14.3911421943096</v>
      </c>
      <c r="AB87" s="47" t="n">
        <f aca="false">$B$80-AB86</f>
        <v>14.3911421943096</v>
      </c>
      <c r="AC87" s="47" t="n">
        <f aca="false">$B$80-AC86</f>
        <v>14.3911421943096</v>
      </c>
      <c r="AD87" s="47" t="n">
        <f aca="false">$B$80-AD86</f>
        <v>14.3911421943096</v>
      </c>
      <c r="AE87" s="47" t="n">
        <f aca="false">$B$80-AE86</f>
        <v>14.3911421943096</v>
      </c>
      <c r="AF87" s="47" t="n">
        <f aca="false">$B$80-AF86</f>
        <v>14.3911421943096</v>
      </c>
      <c r="AG87" s="47" t="n">
        <f aca="false">$B$80-AG86</f>
        <v>14.3911421943096</v>
      </c>
      <c r="AH87" s="47" t="n">
        <f aca="false">$B$80-AH86</f>
        <v>14.3911421943096</v>
      </c>
      <c r="AI87" s="47" t="n">
        <f aca="false">$B$80-AI86</f>
        <v>14.3911421943096</v>
      </c>
      <c r="AJ87" s="47" t="n">
        <f aca="false">$B$80-AJ86</f>
        <v>14.3911421943096</v>
      </c>
      <c r="AK87" s="47" t="n">
        <f aca="false">$B$80-AK86</f>
        <v>14.3911421943096</v>
      </c>
    </row>
    <row r="88" customFormat="false" ht="15" hidden="false" customHeight="false" outlineLevel="0" collapsed="false">
      <c r="A88" s="10" t="s">
        <v>580</v>
      </c>
      <c r="G88" s="47" t="n">
        <f aca="false">$F$39</f>
        <v>47.844081504742</v>
      </c>
      <c r="H88" s="47" t="n">
        <f aca="false">G88</f>
        <v>47.844081504742</v>
      </c>
      <c r="I88" s="47" t="n">
        <f aca="false">H88-H89</f>
        <v>35.851463009484</v>
      </c>
      <c r="J88" s="47" t="n">
        <f aca="false">I88-I89</f>
        <v>23.858844514226</v>
      </c>
      <c r="K88" s="47" t="n">
        <f aca="false">J88-J89</f>
        <v>11.8662260189681</v>
      </c>
      <c r="L88" s="47" t="n">
        <f aca="false">K88-K89</f>
        <v>0</v>
      </c>
      <c r="M88" s="47" t="n">
        <f aca="false">L88-L89</f>
        <v>0</v>
      </c>
      <c r="N88" s="47" t="n">
        <f aca="false">M88-M89</f>
        <v>0</v>
      </c>
      <c r="O88" s="47" t="n">
        <f aca="false">N88-N89</f>
        <v>0</v>
      </c>
      <c r="P88" s="47" t="n">
        <f aca="false">O88-O89</f>
        <v>0</v>
      </c>
      <c r="Q88" s="47" t="n">
        <f aca="false">P88-P89</f>
        <v>0</v>
      </c>
      <c r="R88" s="47" t="n">
        <f aca="false">Q88-Q89</f>
        <v>0</v>
      </c>
      <c r="S88" s="47" t="n">
        <f aca="false">R88-R89</f>
        <v>0</v>
      </c>
      <c r="T88" s="47" t="n">
        <f aca="false">S88-S89</f>
        <v>0</v>
      </c>
      <c r="U88" s="47" t="n">
        <f aca="false">T88-T89</f>
        <v>0</v>
      </c>
      <c r="V88" s="47" t="n">
        <f aca="false">U88-U89</f>
        <v>0</v>
      </c>
      <c r="W88" s="47" t="n">
        <f aca="false">V88-V89</f>
        <v>0</v>
      </c>
      <c r="X88" s="47" t="n">
        <f aca="false">W88-W89</f>
        <v>0</v>
      </c>
      <c r="Y88" s="47" t="n">
        <f aca="false">X88-X89</f>
        <v>0</v>
      </c>
      <c r="Z88" s="47" t="n">
        <f aca="false">Y88-Y89</f>
        <v>0</v>
      </c>
      <c r="AA88" s="47" t="n">
        <f aca="false">Z88-Z89</f>
        <v>0</v>
      </c>
      <c r="AB88" s="47" t="n">
        <f aca="false">AA88-AA89</f>
        <v>0</v>
      </c>
      <c r="AC88" s="47" t="n">
        <f aca="false">AB88-AB89</f>
        <v>0</v>
      </c>
      <c r="AD88" s="47" t="n">
        <f aca="false">AC88-AC89</f>
        <v>0</v>
      </c>
      <c r="AE88" s="47" t="n">
        <f aca="false">AD88-AD89</f>
        <v>0</v>
      </c>
      <c r="AF88" s="47" t="n">
        <f aca="false">AE88-AE89</f>
        <v>0</v>
      </c>
      <c r="AG88" s="47" t="n">
        <f aca="false">AF88-AF89</f>
        <v>0</v>
      </c>
      <c r="AH88" s="47" t="n">
        <f aca="false">AG88-AG89</f>
        <v>0</v>
      </c>
      <c r="AI88" s="47" t="n">
        <f aca="false">AH88-AH89</f>
        <v>0</v>
      </c>
      <c r="AJ88" s="47" t="n">
        <f aca="false">AI88-AI89</f>
        <v>0</v>
      </c>
      <c r="AK88" s="47" t="n">
        <f aca="false">AJ88-AJ89</f>
        <v>0</v>
      </c>
    </row>
    <row r="89" customFormat="false" ht="15" hidden="false" customHeight="false" outlineLevel="0" collapsed="false">
      <c r="A89" s="10" t="s">
        <v>581</v>
      </c>
      <c r="H89" s="47" t="n">
        <f aca="false">MIN(H88,Inputs!$B$35*H87,Inputs!$B$36)</f>
        <v>11.992618495258</v>
      </c>
      <c r="I89" s="47" t="n">
        <f aca="false">MIN(I88,Inputs!$B$35*I87,Inputs!$B$36)</f>
        <v>11.992618495258</v>
      </c>
      <c r="J89" s="47" t="n">
        <f aca="false">MIN(J88,Inputs!$B$35*J87,Inputs!$B$36)</f>
        <v>11.992618495258</v>
      </c>
      <c r="K89" s="47" t="n">
        <f aca="false">MIN(K88,Inputs!$B$35*K87,Inputs!$B$36)</f>
        <v>11.8662260189681</v>
      </c>
      <c r="L89" s="47" t="n">
        <f aca="false">MIN(L88,Inputs!$B$35*L87,Inputs!$B$36)</f>
        <v>0</v>
      </c>
      <c r="M89" s="47" t="n">
        <f aca="false">MIN(M88,Inputs!$B$35*M87,Inputs!$B$36)</f>
        <v>0</v>
      </c>
      <c r="N89" s="47" t="n">
        <f aca="false">MIN(N88,Inputs!$B$35*N87,Inputs!$B$36)</f>
        <v>0</v>
      </c>
      <c r="O89" s="47" t="n">
        <f aca="false">MIN(O88,Inputs!$B$35*O87,Inputs!$B$36)</f>
        <v>0</v>
      </c>
      <c r="P89" s="47" t="n">
        <f aca="false">MIN(P88,Inputs!$B$35*P87,Inputs!$B$36)</f>
        <v>0</v>
      </c>
      <c r="Q89" s="47" t="n">
        <f aca="false">MIN(Q88,Inputs!$B$35*Q87,Inputs!$B$36)</f>
        <v>0</v>
      </c>
      <c r="R89" s="47" t="n">
        <f aca="false">MIN(R88,Inputs!$B$35*R87,Inputs!$B$36)</f>
        <v>0</v>
      </c>
      <c r="S89" s="47" t="n">
        <f aca="false">MIN(S88,Inputs!$B$35*S87,Inputs!$B$36)</f>
        <v>0</v>
      </c>
      <c r="T89" s="47" t="n">
        <f aca="false">MIN(T88,Inputs!$B$35*T87,Inputs!$B$36)</f>
        <v>0</v>
      </c>
      <c r="U89" s="47" t="n">
        <f aca="false">MIN(U88,Inputs!$B$35*U87,Inputs!$B$36)</f>
        <v>0</v>
      </c>
      <c r="V89" s="47" t="n">
        <f aca="false">MIN(V88,Inputs!$B$35*V87,Inputs!$B$36)</f>
        <v>0</v>
      </c>
      <c r="W89" s="47" t="n">
        <f aca="false">MIN(W88,Inputs!$B$35*W87,Inputs!$B$36)</f>
        <v>0</v>
      </c>
      <c r="X89" s="47" t="n">
        <f aca="false">MIN(X88,Inputs!$B$35*X87,Inputs!$B$36)</f>
        <v>0</v>
      </c>
      <c r="Y89" s="47" t="n">
        <f aca="false">MIN(Y88,Inputs!$B$35*Y87,Inputs!$B$36)</f>
        <v>0</v>
      </c>
      <c r="Z89" s="47" t="n">
        <f aca="false">MIN(Z88,Inputs!$B$35*Z87,Inputs!$B$36)</f>
        <v>0</v>
      </c>
      <c r="AA89" s="47" t="n">
        <f aca="false">MIN(AA88,Inputs!$B$35*AA87,Inputs!$B$36)</f>
        <v>0</v>
      </c>
      <c r="AB89" s="47" t="n">
        <f aca="false">MIN(AB88,Inputs!$B$35*AB87,Inputs!$B$36)</f>
        <v>0</v>
      </c>
      <c r="AC89" s="47" t="n">
        <f aca="false">MIN(AC88,Inputs!$B$35*AC87,Inputs!$B$36)</f>
        <v>0</v>
      </c>
      <c r="AD89" s="47" t="n">
        <f aca="false">MIN(AD88,Inputs!$B$35*AD87,Inputs!$B$36)</f>
        <v>0</v>
      </c>
      <c r="AE89" s="47" t="n">
        <f aca="false">MIN(AE88,Inputs!$B$35*AE87,Inputs!$B$36)</f>
        <v>0</v>
      </c>
      <c r="AF89" s="47" t="n">
        <f aca="false">MIN(AF88,Inputs!$B$35*AF87,Inputs!$B$36)</f>
        <v>0</v>
      </c>
      <c r="AG89" s="47" t="n">
        <f aca="false">MIN(AG88,Inputs!$B$35*AG87,Inputs!$B$36)</f>
        <v>0</v>
      </c>
      <c r="AH89" s="47" t="n">
        <f aca="false">MIN(AH88,Inputs!$B$35*AH87,Inputs!$B$36)</f>
        <v>0</v>
      </c>
      <c r="AI89" s="47" t="n">
        <f aca="false">MIN(AI88,Inputs!$B$35*AI87,Inputs!$B$36)</f>
        <v>0</v>
      </c>
      <c r="AJ89" s="47" t="n">
        <f aca="false">MIN(AJ88,Inputs!$B$35*AJ87,Inputs!$B$36)</f>
        <v>0</v>
      </c>
      <c r="AK89" s="47" t="n">
        <f aca="false">MIN(AK88,Inputs!$B$35*AK87,Inputs!$B$36)</f>
        <v>0</v>
      </c>
    </row>
    <row r="90" customFormat="false" ht="15" hidden="false" customHeight="false" outlineLevel="0" collapsed="false">
      <c r="A90" s="10" t="s">
        <v>582</v>
      </c>
      <c r="G90" s="47" t="n">
        <f aca="false">$F$40</f>
        <v>64.3546276797703</v>
      </c>
      <c r="H90" s="47" t="n">
        <f aca="false">G90</f>
        <v>64.3546276797703</v>
      </c>
      <c r="I90" s="47" t="n">
        <f aca="false">H90-H91</f>
        <v>64.3546276797703</v>
      </c>
      <c r="J90" s="47" t="n">
        <f aca="false">I90-I91</f>
        <v>64.3546276797703</v>
      </c>
      <c r="K90" s="47" t="n">
        <f aca="false">J90-J91</f>
        <v>64.3546276797703</v>
      </c>
      <c r="L90" s="47" t="n">
        <f aca="false">K90-K91</f>
        <v>64.2282352034804</v>
      </c>
      <c r="M90" s="47" t="n">
        <f aca="false">L90-L91</f>
        <v>52.2356167082224</v>
      </c>
      <c r="N90" s="47" t="n">
        <f aca="false">M90-M91</f>
        <v>40.7227029527747</v>
      </c>
      <c r="O90" s="47" t="n">
        <f aca="false">N90-N91</f>
        <v>29.2097891973271</v>
      </c>
      <c r="P90" s="47" t="n">
        <f aca="false">O90-O91</f>
        <v>17.6968754418794</v>
      </c>
      <c r="Q90" s="47" t="n">
        <f aca="false">P90-P91</f>
        <v>6.18396168643174</v>
      </c>
      <c r="R90" s="47" t="n">
        <f aca="false">Q90-Q91</f>
        <v>0</v>
      </c>
      <c r="S90" s="47" t="n">
        <f aca="false">R90-R91</f>
        <v>0</v>
      </c>
      <c r="T90" s="47" t="n">
        <f aca="false">S90-S91</f>
        <v>0</v>
      </c>
      <c r="U90" s="47" t="n">
        <f aca="false">T90-T91</f>
        <v>0</v>
      </c>
      <c r="V90" s="47" t="n">
        <f aca="false">U90-U91</f>
        <v>0</v>
      </c>
      <c r="W90" s="47" t="n">
        <f aca="false">V90-V91</f>
        <v>0</v>
      </c>
      <c r="X90" s="47" t="n">
        <f aca="false">W90-W91</f>
        <v>0</v>
      </c>
      <c r="Y90" s="47" t="n">
        <f aca="false">X90-X91</f>
        <v>0</v>
      </c>
      <c r="Z90" s="47" t="n">
        <f aca="false">Y90-Y91</f>
        <v>0</v>
      </c>
      <c r="AA90" s="47" t="n">
        <f aca="false">Z90-Z91</f>
        <v>0</v>
      </c>
      <c r="AB90" s="47" t="n">
        <f aca="false">AA90-AA91</f>
        <v>0</v>
      </c>
      <c r="AC90" s="47" t="n">
        <f aca="false">AB90-AB91</f>
        <v>0</v>
      </c>
      <c r="AD90" s="47" t="n">
        <f aca="false">AC90-AC91</f>
        <v>0</v>
      </c>
      <c r="AE90" s="47" t="n">
        <f aca="false">AD90-AD91</f>
        <v>0</v>
      </c>
      <c r="AF90" s="47" t="n">
        <f aca="false">AE90-AE91</f>
        <v>0</v>
      </c>
      <c r="AG90" s="47" t="n">
        <f aca="false">AF90-AF91</f>
        <v>0</v>
      </c>
      <c r="AH90" s="47" t="n">
        <f aca="false">AG90-AG91</f>
        <v>0</v>
      </c>
      <c r="AI90" s="47" t="n">
        <f aca="false">AH90-AH91</f>
        <v>0</v>
      </c>
      <c r="AJ90" s="47" t="n">
        <f aca="false">AI90-AI91</f>
        <v>0</v>
      </c>
      <c r="AK90" s="47" t="n">
        <f aca="false">AJ90-AJ91</f>
        <v>0</v>
      </c>
    </row>
    <row r="91" customFormat="false" ht="15" hidden="false" customHeight="false" outlineLevel="0" collapsed="false">
      <c r="A91" s="10" t="s">
        <v>576</v>
      </c>
      <c r="H91" s="47" t="n">
        <f aca="false">MIN(H90,Inputs!$B$35*H87-H89)</f>
        <v>0</v>
      </c>
      <c r="I91" s="47" t="n">
        <f aca="false">MIN(I90,Inputs!$B$35*I87-I89)</f>
        <v>0</v>
      </c>
      <c r="J91" s="47" t="n">
        <f aca="false">MIN(J90,Inputs!$B$35*J87-J89)</f>
        <v>0</v>
      </c>
      <c r="K91" s="47" t="n">
        <f aca="false">MIN(K90,Inputs!$B$35*K87-K89)</f>
        <v>0.126392476289926</v>
      </c>
      <c r="L91" s="47" t="n">
        <f aca="false">MIN(L90,Inputs!$B$35*L87-L89)</f>
        <v>11.992618495258</v>
      </c>
      <c r="M91" s="47" t="n">
        <f aca="false">MIN(M90,Inputs!$B$35*M87-M89)</f>
        <v>11.5129137554477</v>
      </c>
      <c r="N91" s="47" t="n">
        <f aca="false">MIN(N90,Inputs!$B$35*N87-N89)</f>
        <v>11.5129137554477</v>
      </c>
      <c r="O91" s="47" t="n">
        <f aca="false">MIN(O90,Inputs!$B$35*O87-O89)</f>
        <v>11.5129137554477</v>
      </c>
      <c r="P91" s="47" t="n">
        <f aca="false">MIN(P90,Inputs!$B$35*P87-P89)</f>
        <v>11.5129137554477</v>
      </c>
      <c r="Q91" s="47" t="n">
        <f aca="false">MIN(Q90,Inputs!$B$35*Q87-Q89)</f>
        <v>6.18396168643174</v>
      </c>
      <c r="R91" s="47" t="n">
        <f aca="false">MIN(R90,Inputs!$B$35*R87-R89)</f>
        <v>0</v>
      </c>
      <c r="S91" s="47" t="n">
        <f aca="false">MIN(S90,Inputs!$B$35*S87-S89)</f>
        <v>0</v>
      </c>
      <c r="T91" s="47" t="n">
        <f aca="false">MIN(T90,Inputs!$B$35*T87-T89)</f>
        <v>0</v>
      </c>
      <c r="U91" s="47" t="n">
        <f aca="false">MIN(U90,Inputs!$B$35*U87-U89)</f>
        <v>0</v>
      </c>
      <c r="V91" s="47" t="n">
        <f aca="false">MIN(V90,Inputs!$B$35*V87-V89)</f>
        <v>0</v>
      </c>
      <c r="W91" s="47" t="n">
        <f aca="false">MIN(W90,Inputs!$B$35*W87-W89)</f>
        <v>0</v>
      </c>
      <c r="X91" s="47" t="n">
        <f aca="false">MIN(X90,Inputs!$B$35*X87-X89)</f>
        <v>0</v>
      </c>
      <c r="Y91" s="47" t="n">
        <f aca="false">MIN(Y90,Inputs!$B$35*Y87-Y89)</f>
        <v>0</v>
      </c>
      <c r="Z91" s="47" t="n">
        <f aca="false">MIN(Z90,Inputs!$B$35*Z87-Z89)</f>
        <v>0</v>
      </c>
      <c r="AA91" s="47" t="n">
        <f aca="false">MIN(AA90,Inputs!$B$35*AA87-AA89)</f>
        <v>0</v>
      </c>
      <c r="AB91" s="47" t="n">
        <f aca="false">MIN(AB90,Inputs!$B$35*AB87-AB89)</f>
        <v>0</v>
      </c>
      <c r="AC91" s="47" t="n">
        <f aca="false">MIN(AC90,Inputs!$B$35*AC87-AC89)</f>
        <v>0</v>
      </c>
      <c r="AD91" s="47" t="n">
        <f aca="false">MIN(AD90,Inputs!$B$35*AD87-AD89)</f>
        <v>0</v>
      </c>
      <c r="AE91" s="47" t="n">
        <f aca="false">MIN(AE90,Inputs!$B$35*AE87-AE89)</f>
        <v>0</v>
      </c>
      <c r="AF91" s="47" t="n">
        <f aca="false">MIN(AF90,Inputs!$B$35*AF87-AF89)</f>
        <v>0</v>
      </c>
      <c r="AG91" s="47" t="n">
        <f aca="false">MIN(AG90,Inputs!$B$35*AG87-AG89)</f>
        <v>0</v>
      </c>
      <c r="AH91" s="47" t="n">
        <f aca="false">MIN(AH90,Inputs!$B$35*AH87-AH89)</f>
        <v>0</v>
      </c>
      <c r="AI91" s="47" t="n">
        <f aca="false">MIN(AI90,Inputs!$B$35*AI87-AI89)</f>
        <v>0</v>
      </c>
      <c r="AJ91" s="47" t="n">
        <f aca="false">MIN(AJ90,Inputs!$B$35*AJ87-AJ89)</f>
        <v>0</v>
      </c>
      <c r="AK91" s="47" t="n">
        <f aca="false">MIN(AK90,Inputs!$B$35*AK87-AK89)</f>
        <v>0</v>
      </c>
    </row>
    <row r="92" customFormat="false" ht="15" hidden="false" customHeight="false" outlineLevel="0" collapsed="false">
      <c r="A92" s="10" t="s">
        <v>583</v>
      </c>
      <c r="H92" s="47" t="n">
        <f aca="false">(H87-H89-H91)*Inputs!$B$33</f>
        <v>0.629612471001044</v>
      </c>
      <c r="I92" s="47" t="n">
        <f aca="false">(I87-I89-I91)*Inputs!$B$33</f>
        <v>0.629612471001044</v>
      </c>
      <c r="J92" s="47" t="n">
        <f aca="false">(J87-J89-J91)*Inputs!$B$33</f>
        <v>0.629612471001044</v>
      </c>
      <c r="K92" s="47" t="n">
        <f aca="false">(K87-K89-K91)*Inputs!$B$33</f>
        <v>0.629612471001044</v>
      </c>
      <c r="L92" s="47" t="n">
        <f aca="false">(L87-L89-L91)*Inputs!$B$33</f>
        <v>0.629612471001044</v>
      </c>
      <c r="M92" s="47" t="n">
        <f aca="false">(M87-M89-M91)*Inputs!$B$33</f>
        <v>0.604427972161002</v>
      </c>
      <c r="N92" s="47" t="n">
        <f aca="false">(N87-N89-N91)*Inputs!$B$33</f>
        <v>0.604427972161002</v>
      </c>
      <c r="O92" s="47" t="n">
        <f aca="false">(O87-O89-O91)*Inputs!$B$33</f>
        <v>0.604427972161002</v>
      </c>
      <c r="P92" s="47" t="n">
        <f aca="false">(P87-P89-P91)*Inputs!$B$33</f>
        <v>0.604427972161002</v>
      </c>
      <c r="Q92" s="47" t="n">
        <f aca="false">(Q87-Q89-Q91)*Inputs!$B$33</f>
        <v>1.72350790665435</v>
      </c>
      <c r="R92" s="47" t="n">
        <f aca="false">(R87-R89-R91)*Inputs!$B$33</f>
        <v>3.02213986080501</v>
      </c>
      <c r="S92" s="47" t="n">
        <f aca="false">(S87-S89-S91)*Inputs!$B$33</f>
        <v>3.02213986080501</v>
      </c>
      <c r="T92" s="47" t="n">
        <f aca="false">(T87-T89-T91)*Inputs!$B$33</f>
        <v>3.02213986080501</v>
      </c>
      <c r="U92" s="47" t="n">
        <f aca="false">(U87-U89-U91)*Inputs!$B$33</f>
        <v>3.02213986080501</v>
      </c>
      <c r="V92" s="47" t="n">
        <f aca="false">(V87-V89-V91)*Inputs!$B$33</f>
        <v>3.02213986080501</v>
      </c>
      <c r="W92" s="47" t="n">
        <f aca="false">(W87-W89-W91)*Inputs!$B$33</f>
        <v>3.02213986080501</v>
      </c>
      <c r="X92" s="47" t="n">
        <f aca="false">(X87-X89-X91)*Inputs!$B$33</f>
        <v>3.02213986080501</v>
      </c>
      <c r="Y92" s="47" t="n">
        <f aca="false">(Y87-Y89-Y91)*Inputs!$B$33</f>
        <v>3.02213986080501</v>
      </c>
      <c r="Z92" s="47" t="n">
        <f aca="false">(Z87-Z89-Z91)*Inputs!$B$33</f>
        <v>3.02213986080501</v>
      </c>
      <c r="AA92" s="47" t="n">
        <f aca="false">(AA87-AA89-AA91)*Inputs!$B$33</f>
        <v>3.02213986080501</v>
      </c>
      <c r="AB92" s="47" t="n">
        <f aca="false">(AB87-AB89-AB91)*Inputs!$B$33</f>
        <v>3.02213986080501</v>
      </c>
      <c r="AC92" s="47" t="n">
        <f aca="false">(AC87-AC89-AC91)*Inputs!$B$33</f>
        <v>3.02213986080501</v>
      </c>
      <c r="AD92" s="47" t="n">
        <f aca="false">(AD87-AD89-AD91)*Inputs!$B$33</f>
        <v>3.02213986080501</v>
      </c>
      <c r="AE92" s="47" t="n">
        <f aca="false">(AE87-AE89-AE91)*Inputs!$B$33</f>
        <v>3.02213986080501</v>
      </c>
      <c r="AF92" s="47" t="n">
        <f aca="false">(AF87-AF89-AF91)*Inputs!$B$33</f>
        <v>3.02213986080501</v>
      </c>
      <c r="AG92" s="47" t="n">
        <f aca="false">(AG87-AG89-AG91)*Inputs!$B$33</f>
        <v>3.02213986080501</v>
      </c>
      <c r="AH92" s="47" t="n">
        <f aca="false">(AH87-AH89-AH91)*Inputs!$B$33</f>
        <v>3.02213986080501</v>
      </c>
      <c r="AI92" s="47" t="n">
        <f aca="false">(AI87-AI89-AI91)*Inputs!$B$33</f>
        <v>3.02213986080501</v>
      </c>
      <c r="AJ92" s="47" t="n">
        <f aca="false">(AJ87-AJ89-AJ91)*Inputs!$B$33</f>
        <v>3.02213986080501</v>
      </c>
      <c r="AK92" s="47" t="n">
        <f aca="false">(AK87-AK89-AK91)*Inputs!$B$33</f>
        <v>3.02213986080501</v>
      </c>
    </row>
    <row r="93" customFormat="false" ht="15" hidden="false" customHeight="false" outlineLevel="0" collapsed="false">
      <c r="A93" s="10" t="s">
        <v>584</v>
      </c>
      <c r="G93" s="47" t="n">
        <f aca="false">$F$43</f>
        <v>2.95638752899896</v>
      </c>
      <c r="H93" s="47" t="n">
        <f aca="false">G93</f>
        <v>2.95638752899896</v>
      </c>
      <c r="I93" s="47" t="n">
        <f aca="false">H93-H94</f>
        <v>2.32677505799791</v>
      </c>
      <c r="J93" s="47" t="n">
        <f aca="false">I93-I94</f>
        <v>1.69716258699687</v>
      </c>
      <c r="K93" s="47" t="n">
        <f aca="false">J93-J94</f>
        <v>1.06755011599582</v>
      </c>
      <c r="L93" s="47" t="n">
        <f aca="false">K93-K94</f>
        <v>0.437937644994781</v>
      </c>
      <c r="M93" s="47" t="n">
        <f aca="false">L93-L94</f>
        <v>0</v>
      </c>
      <c r="N93" s="47" t="n">
        <f aca="false">M93-M94</f>
        <v>0</v>
      </c>
      <c r="O93" s="47" t="n">
        <f aca="false">N93-N94</f>
        <v>0</v>
      </c>
      <c r="P93" s="47" t="n">
        <f aca="false">O93-O94</f>
        <v>0</v>
      </c>
      <c r="Q93" s="47" t="n">
        <f aca="false">P93-P94</f>
        <v>0</v>
      </c>
      <c r="R93" s="47" t="n">
        <f aca="false">Q93-Q94</f>
        <v>0</v>
      </c>
      <c r="S93" s="47" t="n">
        <f aca="false">R93-R94</f>
        <v>0</v>
      </c>
      <c r="T93" s="47" t="n">
        <f aca="false">S93-S94</f>
        <v>0</v>
      </c>
      <c r="U93" s="47" t="n">
        <f aca="false">T93-T94</f>
        <v>0</v>
      </c>
      <c r="V93" s="47" t="n">
        <f aca="false">U93-U94</f>
        <v>0</v>
      </c>
      <c r="W93" s="47" t="n">
        <f aca="false">V93-V94</f>
        <v>0</v>
      </c>
      <c r="X93" s="47" t="n">
        <f aca="false">W93-W94</f>
        <v>0</v>
      </c>
      <c r="Y93" s="47" t="n">
        <f aca="false">X93-X94</f>
        <v>0</v>
      </c>
      <c r="Z93" s="47" t="n">
        <f aca="false">Y93-Y94</f>
        <v>0</v>
      </c>
      <c r="AA93" s="47" t="n">
        <f aca="false">Z93-Z94</f>
        <v>0</v>
      </c>
      <c r="AB93" s="47" t="n">
        <f aca="false">AA93-AA94</f>
        <v>0</v>
      </c>
      <c r="AC93" s="47" t="n">
        <f aca="false">AB93-AB94</f>
        <v>0</v>
      </c>
      <c r="AD93" s="47" t="n">
        <f aca="false">AC93-AC94</f>
        <v>0</v>
      </c>
      <c r="AE93" s="47" t="n">
        <f aca="false">AD93-AD94</f>
        <v>0</v>
      </c>
      <c r="AF93" s="47" t="n">
        <f aca="false">AE93-AE94</f>
        <v>0</v>
      </c>
      <c r="AG93" s="47" t="n">
        <f aca="false">AF93-AF94</f>
        <v>0</v>
      </c>
      <c r="AH93" s="47" t="n">
        <f aca="false">AG93-AG94</f>
        <v>0</v>
      </c>
      <c r="AI93" s="47" t="n">
        <f aca="false">AH93-AH94</f>
        <v>0</v>
      </c>
      <c r="AJ93" s="47" t="n">
        <f aca="false">AI93-AI94</f>
        <v>0</v>
      </c>
      <c r="AK93" s="47" t="n">
        <f aca="false">AJ93-AJ94</f>
        <v>0</v>
      </c>
    </row>
    <row r="94" customFormat="false" ht="15" hidden="false" customHeight="false" outlineLevel="0" collapsed="false">
      <c r="A94" s="10" t="s">
        <v>585</v>
      </c>
      <c r="H94" s="47" t="n">
        <f aca="false">IF(1&lt;=Inputs!$B$43,MIN(H93,H92,MAX(0,Inputs!$B$36-H89)*Inputs!$B$33),0)</f>
        <v>0.629612471001044</v>
      </c>
      <c r="I94" s="47" t="n">
        <f aca="false">IF(2&lt;=Inputs!$B$43,MIN(I93,I92,MAX(0,Inputs!$B$36-I89)*Inputs!$B$33),0)</f>
        <v>0.629612471001044</v>
      </c>
      <c r="J94" s="47" t="n">
        <f aca="false">IF(3&lt;=Inputs!$B$43,MIN(J93,J92,MAX(0,Inputs!$B$36-J89)*Inputs!$B$33),0)</f>
        <v>0.629612471001044</v>
      </c>
      <c r="K94" s="47" t="n">
        <f aca="false">IF(4&lt;=Inputs!$B$43,MIN(K93,K92,MAX(0,Inputs!$B$36-K89)*Inputs!$B$33),0)</f>
        <v>0.629612471001044</v>
      </c>
      <c r="L94" s="47" t="n">
        <f aca="false">IF(5&lt;=Inputs!$B$43,MIN(L93,L92,MAX(0,Inputs!$B$36-L89)*Inputs!$B$33),0)</f>
        <v>0.437937644994781</v>
      </c>
      <c r="M94" s="47" t="n">
        <f aca="false">IF(6&lt;=Inputs!$B$43,MIN(M93,M92,MAX(0,Inputs!$B$36-M89)*Inputs!$B$33),0)</f>
        <v>0</v>
      </c>
      <c r="N94" s="47" t="n">
        <f aca="false">IF(7&lt;=Inputs!$B$43,MIN(N93,N92,MAX(0,Inputs!$B$36-N89)*Inputs!$B$33),0)</f>
        <v>0</v>
      </c>
      <c r="O94" s="47" t="n">
        <f aca="false">IF(8&lt;=Inputs!$B$43,MIN(O93,O92,MAX(0,Inputs!$B$36-O89)*Inputs!$B$33),0)</f>
        <v>0</v>
      </c>
      <c r="P94" s="47" t="n">
        <f aca="false">IF(9&lt;=Inputs!$B$43,MIN(P93,P92,MAX(0,Inputs!$B$36-P89)*Inputs!$B$33),0)</f>
        <v>0</v>
      </c>
      <c r="Q94" s="47" t="n">
        <f aca="false">IF(10&lt;=Inputs!$B$43,MIN(Q93,Q92,MAX(0,Inputs!$B$36-Q89)*Inputs!$B$33),0)</f>
        <v>0</v>
      </c>
      <c r="R94" s="47" t="n">
        <f aca="false">IF(11&lt;=Inputs!$B$43,MIN(R93,R92,MAX(0,Inputs!$B$36-R89)*Inputs!$B$33),0)</f>
        <v>0</v>
      </c>
      <c r="S94" s="47" t="n">
        <f aca="false">IF(12&lt;=Inputs!$B$43,MIN(S93,S92,MAX(0,Inputs!$B$36-S89)*Inputs!$B$33),0)</f>
        <v>0</v>
      </c>
      <c r="T94" s="47" t="n">
        <f aca="false">IF(13&lt;=Inputs!$B$43,MIN(T93,T92,MAX(0,Inputs!$B$36-T89)*Inputs!$B$33),0)</f>
        <v>0</v>
      </c>
      <c r="U94" s="47" t="n">
        <f aca="false">IF(14&lt;=Inputs!$B$43,MIN(U93,U92,MAX(0,Inputs!$B$36-U89)*Inputs!$B$33),0)</f>
        <v>0</v>
      </c>
      <c r="V94" s="47" t="n">
        <f aca="false">IF(15&lt;=Inputs!$B$43,MIN(V93,V92,MAX(0,Inputs!$B$36-V89)*Inputs!$B$33),0)</f>
        <v>0</v>
      </c>
      <c r="W94" s="47" t="n">
        <f aca="false">IF(16&lt;=Inputs!$B$43,MIN(W93,W92,MAX(0,Inputs!$B$36-W89)*Inputs!$B$33),0)</f>
        <v>0</v>
      </c>
      <c r="X94" s="47" t="n">
        <f aca="false">IF(17&lt;=Inputs!$B$43,MIN(X93,X92,MAX(0,Inputs!$B$36-X89)*Inputs!$B$33),0)</f>
        <v>0</v>
      </c>
      <c r="Y94" s="47" t="n">
        <f aca="false">IF(18&lt;=Inputs!$B$43,MIN(Y93,Y92,MAX(0,Inputs!$B$36-Y89)*Inputs!$B$33),0)</f>
        <v>0</v>
      </c>
      <c r="Z94" s="47" t="n">
        <f aca="false">IF(19&lt;=Inputs!$B$43,MIN(Z93,Z92,MAX(0,Inputs!$B$36-Z89)*Inputs!$B$33),0)</f>
        <v>0</v>
      </c>
      <c r="AA94" s="47" t="n">
        <f aca="false">IF(20&lt;=Inputs!$B$43,MIN(AA93,AA92,MAX(0,Inputs!$B$36-AA89)*Inputs!$B$33),0)</f>
        <v>0</v>
      </c>
      <c r="AB94" s="47" t="n">
        <f aca="false">IF(21&lt;=Inputs!$B$43,MIN(AB93,AB92,MAX(0,Inputs!$B$36-AB89)*Inputs!$B$33),0)</f>
        <v>0</v>
      </c>
      <c r="AC94" s="47" t="n">
        <f aca="false">IF(22&lt;=Inputs!$B$43,MIN(AC93,AC92,MAX(0,Inputs!$B$36-AC89)*Inputs!$B$33),0)</f>
        <v>0</v>
      </c>
      <c r="AD94" s="47" t="n">
        <f aca="false">IF(23&lt;=Inputs!$B$43,MIN(AD93,AD92,MAX(0,Inputs!$B$36-AD89)*Inputs!$B$33),0)</f>
        <v>0</v>
      </c>
      <c r="AE94" s="47" t="n">
        <f aca="false">IF(24&lt;=Inputs!$B$43,MIN(AE93,AE92,MAX(0,Inputs!$B$36-AE89)*Inputs!$B$33),0)</f>
        <v>0</v>
      </c>
      <c r="AF94" s="47" t="n">
        <f aca="false">IF(25&lt;=Inputs!$B$43,MIN(AF93,AF92,MAX(0,Inputs!$B$36-AF89)*Inputs!$B$33),0)</f>
        <v>0</v>
      </c>
      <c r="AG94" s="47" t="n">
        <f aca="false">IF(26&lt;=Inputs!$B$43,MIN(AG93,AG92,MAX(0,Inputs!$B$36-AG89)*Inputs!$B$33),0)</f>
        <v>0</v>
      </c>
      <c r="AH94" s="47" t="n">
        <f aca="false">IF(27&lt;=Inputs!$B$43,MIN(AH93,AH92,MAX(0,Inputs!$B$36-AH89)*Inputs!$B$33),0)</f>
        <v>0</v>
      </c>
      <c r="AI94" s="47" t="n">
        <f aca="false">IF(28&lt;=Inputs!$B$43,MIN(AI93,AI92,MAX(0,Inputs!$B$36-AI89)*Inputs!$B$33),0)</f>
        <v>0</v>
      </c>
      <c r="AJ94" s="47" t="n">
        <f aca="false">IF(29&lt;=Inputs!$B$43,MIN(AJ93,AJ92,MAX(0,Inputs!$B$36-AJ89)*Inputs!$B$33),0)</f>
        <v>0</v>
      </c>
      <c r="AK94" s="47" t="n">
        <f aca="false">IF(30&lt;=Inputs!$B$43,MIN(AK93,AK92,MAX(0,Inputs!$B$36-AK89)*Inputs!$B$33),0)</f>
        <v>0</v>
      </c>
    </row>
    <row r="95" customFormat="false" ht="15" hidden="false" customHeight="false" outlineLevel="0" collapsed="false">
      <c r="A95" s="10" t="s">
        <v>586</v>
      </c>
      <c r="H95" s="47" t="n">
        <f aca="false">($B$80*Inputs!$B$34+($B$80-$B$80*Inputs!$B$34)*Inputs!$B$33)-(H86+H92-H94)</f>
        <v>3.62177078556791</v>
      </c>
      <c r="I95" s="47" t="n">
        <f aca="false">($B$80*Inputs!$B$34+($B$80-$B$80*Inputs!$B$34)*Inputs!$B$33)-(I86+I92-I94)</f>
        <v>3.62177078556791</v>
      </c>
      <c r="J95" s="47" t="n">
        <f aca="false">($B$80*Inputs!$B$34+($B$80-$B$80*Inputs!$B$34)*Inputs!$B$33)-(J86+J92-J94)</f>
        <v>3.62177078556791</v>
      </c>
      <c r="K95" s="47" t="n">
        <f aca="false">($B$80*Inputs!$B$34+($B$80-$B$80*Inputs!$B$34)*Inputs!$B$33)-(K86+K92-K94)</f>
        <v>3.62177078556791</v>
      </c>
      <c r="L95" s="47" t="n">
        <f aca="false">($B$80*Inputs!$B$34+($B$80-$B$80*Inputs!$B$34)*Inputs!$B$33)-(L86+L92-L94)</f>
        <v>3.43009595956165</v>
      </c>
      <c r="M95" s="47" t="n">
        <f aca="false">($B$80*Inputs!$B$34+($B$80-$B$80*Inputs!$B$34)*Inputs!$B$33)-(M86+M92-M94)</f>
        <v>2.41771188864401</v>
      </c>
      <c r="N95" s="47" t="n">
        <f aca="false">($B$80*Inputs!$B$34+($B$80-$B$80*Inputs!$B$34)*Inputs!$B$33)-(N86+N92-N94)</f>
        <v>2.41771188864401</v>
      </c>
      <c r="O95" s="47" t="n">
        <f aca="false">($B$80*Inputs!$B$34+($B$80-$B$80*Inputs!$B$34)*Inputs!$B$33)-(O86+O92-O94)</f>
        <v>2.41771188864401</v>
      </c>
      <c r="P95" s="47" t="n">
        <f aca="false">($B$80*Inputs!$B$34+($B$80-$B$80*Inputs!$B$34)*Inputs!$B$33)-(P86+P92-P94)</f>
        <v>2.41771188864401</v>
      </c>
      <c r="Q95" s="47" t="n">
        <f aca="false">($B$80*Inputs!$B$34+($B$80-$B$80*Inputs!$B$34)*Inputs!$B$33)-(Q86+Q92-Q94)</f>
        <v>1.29863195415067</v>
      </c>
      <c r="R95" s="47" t="n">
        <f aca="false">($B$80*Inputs!$B$34+($B$80-$B$80*Inputs!$B$34)*Inputs!$B$33)-(R86+R92-R94)</f>
        <v>0</v>
      </c>
      <c r="S95" s="47" t="n">
        <f aca="false">($B$80*Inputs!$B$34+($B$80-$B$80*Inputs!$B$34)*Inputs!$B$33)-(S86+S92-S94)</f>
        <v>0</v>
      </c>
      <c r="T95" s="47" t="n">
        <f aca="false">($B$80*Inputs!$B$34+($B$80-$B$80*Inputs!$B$34)*Inputs!$B$33)-(T86+T92-T94)</f>
        <v>0</v>
      </c>
      <c r="U95" s="47" t="n">
        <f aca="false">($B$80*Inputs!$B$34+($B$80-$B$80*Inputs!$B$34)*Inputs!$B$33)-(U86+U92-U94)</f>
        <v>0</v>
      </c>
      <c r="V95" s="47" t="n">
        <f aca="false">($B$80*Inputs!$B$34+($B$80-$B$80*Inputs!$B$34)*Inputs!$B$33)-(V86+V92-V94)</f>
        <v>0</v>
      </c>
      <c r="W95" s="47" t="n">
        <f aca="false">($B$80*Inputs!$B$34+($B$80-$B$80*Inputs!$B$34)*Inputs!$B$33)-(W86+W92-W94)</f>
        <v>0</v>
      </c>
      <c r="X95" s="47" t="n">
        <f aca="false">($B$80*Inputs!$B$34+($B$80-$B$80*Inputs!$B$34)*Inputs!$B$33)-(X86+X92-X94)</f>
        <v>0</v>
      </c>
      <c r="Y95" s="47" t="n">
        <f aca="false">($B$80*Inputs!$B$34+($B$80-$B$80*Inputs!$B$34)*Inputs!$B$33)-(Y86+Y92-Y94)</f>
        <v>0</v>
      </c>
      <c r="Z95" s="47" t="n">
        <f aca="false">($B$80*Inputs!$B$34+($B$80-$B$80*Inputs!$B$34)*Inputs!$B$33)-(Z86+Z92-Z94)</f>
        <v>0</v>
      </c>
      <c r="AA95" s="47" t="n">
        <f aca="false">($B$80*Inputs!$B$34+($B$80-$B$80*Inputs!$B$34)*Inputs!$B$33)-(AA86+AA92-AA94)</f>
        <v>0</v>
      </c>
      <c r="AB95" s="47" t="n">
        <f aca="false">($B$80*Inputs!$B$34+($B$80-$B$80*Inputs!$B$34)*Inputs!$B$33)-(AB86+AB92-AB94)</f>
        <v>0</v>
      </c>
      <c r="AC95" s="47" t="n">
        <f aca="false">($B$80*Inputs!$B$34+($B$80-$B$80*Inputs!$B$34)*Inputs!$B$33)-(AC86+AC92-AC94)</f>
        <v>0</v>
      </c>
      <c r="AD95" s="47" t="n">
        <f aca="false">($B$80*Inputs!$B$34+($B$80-$B$80*Inputs!$B$34)*Inputs!$B$33)-(AD86+AD92-AD94)</f>
        <v>0</v>
      </c>
      <c r="AE95" s="47" t="n">
        <f aca="false">($B$80*Inputs!$B$34+($B$80-$B$80*Inputs!$B$34)*Inputs!$B$33)-(AE86+AE92-AE94)</f>
        <v>0</v>
      </c>
      <c r="AF95" s="47" t="n">
        <f aca="false">($B$80*Inputs!$B$34+($B$80-$B$80*Inputs!$B$34)*Inputs!$B$33)-(AF86+AF92-AF94)</f>
        <v>0</v>
      </c>
      <c r="AG95" s="47" t="n">
        <f aca="false">($B$80*Inputs!$B$34+($B$80-$B$80*Inputs!$B$34)*Inputs!$B$33)-(AG86+AG92-AG94)</f>
        <v>0</v>
      </c>
      <c r="AH95" s="47" t="n">
        <f aca="false">($B$80*Inputs!$B$34+($B$80-$B$80*Inputs!$B$34)*Inputs!$B$33)-(AH86+AH92-AH94)</f>
        <v>0</v>
      </c>
      <c r="AI95" s="47" t="n">
        <f aca="false">($B$80*Inputs!$B$34+($B$80-$B$80*Inputs!$B$34)*Inputs!$B$33)-(AI86+AI92-AI94)</f>
        <v>0</v>
      </c>
      <c r="AJ95" s="47" t="n">
        <f aca="false">($B$80*Inputs!$B$34+($B$80-$B$80*Inputs!$B$34)*Inputs!$B$33)-(AJ86+AJ92-AJ94)</f>
        <v>0</v>
      </c>
      <c r="AK95" s="47" t="n">
        <f aca="false">($B$80*Inputs!$B$34+($B$80-$B$80*Inputs!$B$34)*Inputs!$B$33)-(AK86+AK92-AK94)</f>
        <v>0</v>
      </c>
    </row>
    <row r="96" customFormat="false" ht="15" hidden="false" customHeight="false" outlineLevel="0" collapsed="false">
      <c r="A96" s="10" t="s">
        <v>587</v>
      </c>
      <c r="B96" s="47" t="n">
        <f aca="false">SUMPRODUCT($H$95:$AK$95,$H$81:$AK$81)</f>
        <v>18.180671671049</v>
      </c>
    </row>
    <row r="97" customFormat="false" ht="15" hidden="false" customHeight="false" outlineLevel="0" collapsed="false">
      <c r="A97" s="10" t="s">
        <v>588</v>
      </c>
      <c r="B97" s="47" t="n">
        <f aca="false">Inputs!$B$42*$B$96*$F$527</f>
        <v>11.9761715604805</v>
      </c>
    </row>
    <row r="98" customFormat="false" ht="15" hidden="false" customHeight="false" outlineLevel="0" collapsed="false">
      <c r="A98" s="10" t="s">
        <v>589</v>
      </c>
      <c r="B98" s="47" t="n">
        <f aca="false">$B$64</f>
        <v>18.4621457286432</v>
      </c>
    </row>
    <row r="99" customFormat="false" ht="15" hidden="false" customHeight="false" outlineLevel="0" collapsed="false">
      <c r="A99" s="10" t="s">
        <v>590</v>
      </c>
      <c r="B99" s="47" t="n">
        <f aca="false">0</f>
        <v>0</v>
      </c>
    </row>
    <row r="100" customFormat="false" ht="15" hidden="false" customHeight="false" outlineLevel="0" collapsed="false">
      <c r="A100" s="10" t="s">
        <v>591</v>
      </c>
      <c r="B100" s="47" t="n">
        <f aca="false">SUMPRODUCT($C$59:$F$59,$C$527:$F$527)</f>
        <v>0.314163420319739</v>
      </c>
    </row>
    <row r="101" customFormat="false" ht="15" hidden="false" customHeight="false" outlineLevel="0" collapsed="false">
      <c r="A101" s="13" t="s">
        <v>592</v>
      </c>
      <c r="B101" s="18" t="n">
        <f aca="false">$B$79+$B$97+$B$98+$B$99-$B$100</f>
        <v>78.8197647774743</v>
      </c>
    </row>
    <row r="102" customFormat="false" ht="15" hidden="false" customHeight="false" outlineLevel="0" collapsed="false">
      <c r="A102" s="10" t="s">
        <v>593</v>
      </c>
      <c r="B102" s="25" t="n">
        <f aca="false">Historicals!$B$50+Inputs!$B$15+Inputs!$B$16</f>
        <v>14.1934659057591</v>
      </c>
    </row>
    <row r="103" customFormat="false" ht="15" hidden="false" customHeight="false" outlineLevel="0" collapsed="false">
      <c r="A103" s="10" t="s">
        <v>594</v>
      </c>
      <c r="B103" s="32" t="n">
        <f aca="false">IFERROR(($B$101-$B$58*(1-Inputs!$B$70))/$B$102,0)</f>
        <v>5.55324297115425</v>
      </c>
    </row>
    <row r="104" customFormat="false" ht="15" hidden="false" customHeight="false" outlineLevel="0" collapsed="false">
      <c r="A104" s="10" t="s">
        <v>595</v>
      </c>
      <c r="B104" s="25" t="n">
        <f aca="false">IF($B$103&gt;0,$B$58/($B$103*(1-Inputs!$B$71)),0)</f>
        <v>0</v>
      </c>
    </row>
    <row r="105" customFormat="false" ht="15" hidden="false" customHeight="false" outlineLevel="0" collapsed="false">
      <c r="A105" s="10" t="s">
        <v>596</v>
      </c>
      <c r="B105" s="32" t="n">
        <f aca="false">IFERROR($B$101/($B$102+$B$104),0)</f>
        <v>5.55324297115425</v>
      </c>
    </row>
    <row r="106" customFormat="false" ht="15" hidden="false" customHeight="false" outlineLevel="0" collapsed="false">
      <c r="A106" s="10" t="s">
        <v>597</v>
      </c>
      <c r="B106" s="47" t="n">
        <f aca="false">SUMPRODUCT($C$58:$F$58,$C$527:$F$527)</f>
        <v>0</v>
      </c>
    </row>
    <row r="107" customFormat="false" ht="15" hidden="false" customHeight="false" outlineLevel="0" collapsed="false">
      <c r="A107" s="10" t="s">
        <v>598</v>
      </c>
      <c r="B107" s="25" t="n">
        <f aca="false">IF($B$105&gt;0,$B$104+$B$106/($B$105*(1-Inputs!$B$71)),0)</f>
        <v>0</v>
      </c>
    </row>
    <row r="108" customFormat="false" ht="15" hidden="false" customHeight="false" outlineLevel="0" collapsed="false">
      <c r="A108" s="13" t="s">
        <v>599</v>
      </c>
      <c r="B108" s="15" t="n">
        <f aca="false">IFERROR(($B$101+$B$106)/($B$102+$B$107),0)</f>
        <v>5.55324297115425</v>
      </c>
    </row>
    <row r="109" customFormat="false" ht="15" hidden="false" customHeight="false" outlineLevel="0" collapsed="false">
      <c r="A109" s="10" t="s">
        <v>600</v>
      </c>
      <c r="B109" s="49" t="str">
        <f aca="false">IF($F$66&gt;Inputs!$B$72,"Not meaningful: funding need above limit",IF(OR($B$70&lt;=0,$B$75&lt;=0),"Not meaningful: 2030 profit or cash flow negative",IF(OR($B$74&lt;=0,$B$78&lt;=0),"Not meaningful: a method gives zero or negative value",IF($B$101&lt;=0,"Not meaningful: value at or below zero","OK"))))</f>
        <v>OK</v>
      </c>
    </row>
    <row r="110" customFormat="false" ht="15" hidden="false" customHeight="false" outlineLevel="0" collapsed="false">
      <c r="A110" s="13" t="s">
        <v>601</v>
      </c>
      <c r="B110" s="15" t="n">
        <f aca="false">IF($B$109="OK",$B$108,"unresolved")</f>
        <v>5.55324297115425</v>
      </c>
    </row>
    <row r="111" customFormat="false" ht="15" hidden="false" customHeight="false" outlineLevel="0" collapsed="false">
      <c r="A111" s="10" t="s">
        <v>602</v>
      </c>
      <c r="B111" s="47" t="n">
        <f aca="false">IF(ISNUMBER($B$110),$B$110*$B$102,"unresolved")</f>
        <v>78.8197647774743</v>
      </c>
    </row>
    <row r="112" customFormat="false" ht="15" hidden="false" customHeight="false" outlineLevel="0" collapsed="false">
      <c r="A112" s="10" t="s">
        <v>603</v>
      </c>
      <c r="B112" s="47" t="n">
        <f aca="false">IFERROR($B$101-$B$58*(1-Inputs!$B$70)-$B$111,"n/a")</f>
        <v>0</v>
      </c>
    </row>
    <row r="114" customFormat="false" ht="15" hidden="false" customHeight="false" outlineLevel="0" collapsed="false">
      <c r="A114" s="8" t="s">
        <v>604</v>
      </c>
      <c r="B114" s="9" t="s">
        <v>495</v>
      </c>
      <c r="C114" s="9" t="s">
        <v>496</v>
      </c>
      <c r="D114" s="9" t="s">
        <v>497</v>
      </c>
      <c r="E114" s="9" t="s">
        <v>498</v>
      </c>
      <c r="F114" s="9" t="s">
        <v>499</v>
      </c>
    </row>
    <row r="115" customFormat="false" ht="15" hidden="false" customHeight="false" outlineLevel="0" collapsed="false">
      <c r="A115" s="10" t="s">
        <v>605</v>
      </c>
      <c r="B115" s="47" t="n">
        <f aca="false">Historicals!$C$73+Inputs!$E$120</f>
        <v>77.31</v>
      </c>
      <c r="C115" s="47" t="n">
        <f aca="false">B115*(1+Inputs!$E$124)</f>
        <v>75.7638</v>
      </c>
      <c r="D115" s="47" t="n">
        <f aca="false">C115*(1+Inputs!$E$125)</f>
        <v>75.7638</v>
      </c>
      <c r="E115" s="47" t="n">
        <f aca="false">D115*(1+Inputs!$E$126)</f>
        <v>76.521438</v>
      </c>
      <c r="F115" s="47" t="n">
        <f aca="false">E115*(1+Inputs!$E$127)</f>
        <v>78.05186676</v>
      </c>
    </row>
    <row r="116" customFormat="false" ht="15" hidden="false" customHeight="false" outlineLevel="0" collapsed="false">
      <c r="A116" s="10" t="s">
        <v>606</v>
      </c>
      <c r="B116" s="47" t="n">
        <f aca="false">Historicals!$C$74+Inputs!$E$121</f>
        <v>11.328</v>
      </c>
      <c r="C116" s="47" t="n">
        <f aca="false">B116*(1+Inputs!$E$128)</f>
        <v>12.4608</v>
      </c>
      <c r="D116" s="47" t="n">
        <f aca="false">C116*(1+Inputs!$E$129)</f>
        <v>13.70688</v>
      </c>
      <c r="E116" s="47" t="n">
        <f aca="false">D116*(1+Inputs!$E$130)</f>
        <v>15.077568</v>
      </c>
      <c r="F116" s="47" t="n">
        <f aca="false">E116*(1+Inputs!$E$131)</f>
        <v>16.5853248</v>
      </c>
    </row>
    <row r="117" customFormat="false" ht="15" hidden="false" customHeight="false" outlineLevel="0" collapsed="false">
      <c r="A117" s="10" t="s">
        <v>607</v>
      </c>
      <c r="B117" s="47" t="n">
        <f aca="false">Historicals!$C$75+Inputs!$E$122</f>
        <v>17.631</v>
      </c>
      <c r="C117" s="47" t="n">
        <f aca="false">B117*(1+Inputs!$E$132)</f>
        <v>19.74672</v>
      </c>
      <c r="D117" s="47" t="n">
        <f aca="false">C117*(1+Inputs!$E$133)</f>
        <v>22.1163264</v>
      </c>
      <c r="E117" s="47" t="n">
        <f aca="false">D117*(1+Inputs!$E$134)</f>
        <v>24.770285568</v>
      </c>
      <c r="F117" s="47" t="n">
        <f aca="false">E117*(1+Inputs!$E$135)</f>
        <v>27.74271983616</v>
      </c>
    </row>
    <row r="118" customFormat="false" ht="15" hidden="false" customHeight="false" outlineLevel="0" collapsed="false">
      <c r="A118" s="10" t="s">
        <v>608</v>
      </c>
      <c r="B118" s="26" t="n">
        <v>0</v>
      </c>
      <c r="C118" s="47" t="n">
        <f aca="false">1*Inputs!$E$136</f>
        <v>0</v>
      </c>
      <c r="D118" s="47" t="n">
        <f aca="false">1*Inputs!$E$137</f>
        <v>0.5</v>
      </c>
      <c r="E118" s="47" t="n">
        <f aca="false">1*Inputs!$E$138</f>
        <v>1</v>
      </c>
      <c r="F118" s="47" t="n">
        <f aca="false">1*Inputs!$E$139</f>
        <v>2</v>
      </c>
    </row>
    <row r="119" customFormat="false" ht="15" hidden="false" customHeight="false" outlineLevel="0" collapsed="false">
      <c r="A119" s="13" t="s">
        <v>108</v>
      </c>
      <c r="B119" s="18" t="n">
        <f aca="false">B115+B116+B117+B118</f>
        <v>106.269</v>
      </c>
      <c r="C119" s="18" t="n">
        <f aca="false">C115+C116+C117+C118</f>
        <v>107.97132</v>
      </c>
      <c r="D119" s="18" t="n">
        <f aca="false">D115+D116+D117+D118</f>
        <v>112.0870064</v>
      </c>
      <c r="E119" s="18" t="n">
        <f aca="false">E115+E116+E117+E118</f>
        <v>117.369291568</v>
      </c>
      <c r="F119" s="18" t="n">
        <f aca="false">F115+F116+F117+F118</f>
        <v>124.37991139616</v>
      </c>
    </row>
    <row r="120" customFormat="false" ht="15" hidden="false" customHeight="false" outlineLevel="0" collapsed="false">
      <c r="A120" s="10" t="s">
        <v>501</v>
      </c>
      <c r="C120" s="19" t="n">
        <f aca="false">IFERROR(C119/B119-1,0)</f>
        <v>0.0160189707252352</v>
      </c>
      <c r="D120" s="19" t="n">
        <f aca="false">IFERROR(D119/C119-1,0)</f>
        <v>0.0381183299416918</v>
      </c>
      <c r="E120" s="19" t="n">
        <f aca="false">IFERROR(E119/D119-1,0)</f>
        <v>0.0471266504268064</v>
      </c>
      <c r="F120" s="19" t="n">
        <f aca="false">IFERROR(F119/E119-1,0)</f>
        <v>0.059731295422349</v>
      </c>
    </row>
    <row r="121" customFormat="false" ht="15" hidden="false" customHeight="false" outlineLevel="0" collapsed="false">
      <c r="A121" s="10" t="s">
        <v>609</v>
      </c>
      <c r="C121" s="47" t="n">
        <f aca="false">C115*(Inputs!$E$140+(Inputs!$E$141-Inputs!$E$140)*0/3)</f>
        <v>9.849294</v>
      </c>
      <c r="D121" s="47" t="n">
        <f aca="false">D115*(Inputs!$E$140+(Inputs!$E$141-Inputs!$E$140)*1/3)</f>
        <v>10.10184</v>
      </c>
      <c r="E121" s="47" t="n">
        <f aca="false">E115*(Inputs!$E$140+(Inputs!$E$141-Inputs!$E$140)*2/3)</f>
        <v>10.45792986</v>
      </c>
      <c r="F121" s="47" t="n">
        <f aca="false">F115*(Inputs!$E$140+(Inputs!$E$141-Inputs!$E$140)*3/3)</f>
        <v>10.9272613464</v>
      </c>
    </row>
    <row r="122" customFormat="false" ht="15" hidden="false" customHeight="false" outlineLevel="0" collapsed="false">
      <c r="A122" s="10" t="s">
        <v>610</v>
      </c>
      <c r="C122" s="47" t="n">
        <f aca="false">C116*(Inputs!$E$142+(Inputs!$E$143-Inputs!$E$142)*0/3)</f>
        <v>3.239808</v>
      </c>
      <c r="D122" s="47" t="n">
        <f aca="false">D116*(Inputs!$E$142+(Inputs!$E$143-Inputs!$E$142)*1/3)</f>
        <v>3.5637888</v>
      </c>
      <c r="E122" s="47" t="n">
        <f aca="false">E116*(Inputs!$E$142+(Inputs!$E$143-Inputs!$E$142)*2/3)</f>
        <v>3.92016768</v>
      </c>
      <c r="F122" s="47" t="n">
        <f aca="false">F116*(Inputs!$E$142+(Inputs!$E$143-Inputs!$E$142)*3/3)</f>
        <v>4.312184448</v>
      </c>
    </row>
    <row r="123" customFormat="false" ht="15" hidden="false" customHeight="false" outlineLevel="0" collapsed="false">
      <c r="A123" s="10" t="s">
        <v>611</v>
      </c>
      <c r="C123" s="47" t="n">
        <f aca="false">C117*(Inputs!$E$144+(Inputs!$E$145-Inputs!$E$144)*0/3)</f>
        <v>3.7518768</v>
      </c>
      <c r="D123" s="47" t="n">
        <f aca="false">D117*(Inputs!$E$144+(Inputs!$E$145-Inputs!$E$144)*1/3)</f>
        <v>4.202102016</v>
      </c>
      <c r="E123" s="47" t="n">
        <f aca="false">E117*(Inputs!$E$144+(Inputs!$E$145-Inputs!$E$144)*2/3)</f>
        <v>4.70635425792</v>
      </c>
      <c r="F123" s="47" t="n">
        <f aca="false">F117*(Inputs!$E$144+(Inputs!$E$145-Inputs!$E$144)*3/3)</f>
        <v>5.2711167688704</v>
      </c>
    </row>
    <row r="124" customFormat="false" ht="15" hidden="false" customHeight="false" outlineLevel="0" collapsed="false">
      <c r="A124" s="10" t="s">
        <v>612</v>
      </c>
      <c r="C124" s="47" t="n">
        <f aca="false">C118*(Inputs!$E$146+(Inputs!$E$147-Inputs!$E$146)*0/3)</f>
        <v>-0</v>
      </c>
      <c r="D124" s="47" t="n">
        <f aca="false">D118*(Inputs!$E$146+(Inputs!$E$147-Inputs!$E$146)*1/3)</f>
        <v>-0.095</v>
      </c>
      <c r="E124" s="47" t="n">
        <f aca="false">E118*(Inputs!$E$146+(Inputs!$E$147-Inputs!$E$146)*2/3)</f>
        <v>0.00999999999999995</v>
      </c>
      <c r="F124" s="47" t="n">
        <f aca="false">F118*(Inputs!$E$146+(Inputs!$E$147-Inputs!$E$146)*3/3)</f>
        <v>0.42</v>
      </c>
    </row>
    <row r="125" customFormat="false" ht="15" hidden="false" customHeight="false" outlineLevel="0" collapsed="false">
      <c r="A125" s="10" t="s">
        <v>505</v>
      </c>
      <c r="C125" s="47" t="n">
        <f aca="false">C121+C122+C123+C124</f>
        <v>16.8409788</v>
      </c>
      <c r="D125" s="47" t="n">
        <f aca="false">D121+D122+D123+D124</f>
        <v>17.772730816</v>
      </c>
      <c r="E125" s="47" t="n">
        <f aca="false">E121+E122+E123+E124</f>
        <v>19.09445179792</v>
      </c>
      <c r="F125" s="47" t="n">
        <f aca="false">F121+F122+F123+F124</f>
        <v>20.9305625632704</v>
      </c>
    </row>
    <row r="126" customFormat="false" ht="15" hidden="false" customHeight="false" outlineLevel="0" collapsed="false">
      <c r="A126" s="10" t="s">
        <v>613</v>
      </c>
      <c r="B126" s="47" t="n">
        <f aca="false">(Inputs!$E$120+Inputs!$E$121+Inputs!$E$122)*Inputs!$E$148</f>
        <v>1.104</v>
      </c>
      <c r="C126" s="47" t="n">
        <f aca="false">C119*Inputs!$E$148</f>
        <v>4.3188528</v>
      </c>
      <c r="D126" s="47" t="n">
        <f aca="false">D119*Inputs!$E$148</f>
        <v>4.483480256</v>
      </c>
      <c r="E126" s="47" t="n">
        <f aca="false">E119*Inputs!$E$148</f>
        <v>4.69477166272</v>
      </c>
      <c r="F126" s="47" t="n">
        <f aca="false">F119*Inputs!$E$148</f>
        <v>4.9751964558464</v>
      </c>
    </row>
    <row r="127" customFormat="false" ht="15" hidden="false" customHeight="false" outlineLevel="0" collapsed="false">
      <c r="A127" s="10" t="s">
        <v>614</v>
      </c>
      <c r="B127" s="26" t="n">
        <v>0</v>
      </c>
      <c r="C127" s="26" t="n">
        <v>0</v>
      </c>
      <c r="D127" s="26" t="n">
        <v>0</v>
      </c>
      <c r="E127" s="26" t="n">
        <v>0</v>
      </c>
      <c r="F127" s="26" t="n">
        <v>0</v>
      </c>
    </row>
    <row r="128" customFormat="false" ht="15" hidden="false" customHeight="false" outlineLevel="0" collapsed="false">
      <c r="A128" s="10" t="s">
        <v>615</v>
      </c>
      <c r="B128" s="47" t="n">
        <f aca="false">Historicals!$C$76+Inputs!$B$53/4</f>
        <v>6.748</v>
      </c>
      <c r="C128" s="47" t="n">
        <f aca="false">Inputs!$B$53*MAX(0,MIN(1,(Inputs!$B$57-1+0.5)/Inputs!$B$57))+$B132*IF(1&lt;=Inputs!$B$49,1,0)/Inputs!$B$49+C131*0.5/Inputs!$B$49</f>
        <v>8.07114779166667</v>
      </c>
      <c r="D128" s="47" t="n">
        <f aca="false">Inputs!$B$53*MAX(0,MIN(1,(Inputs!$B$57-2+0.5)/Inputs!$B$57))+$B132*IF(2&lt;=Inputs!$B$49,1,0)/Inputs!$B$49+C131*IF(1&lt;=Inputs!$B$49-1,1,IF(1=Inputs!$B$49,0.5,0))/Inputs!$B$49+D131*0.5/Inputs!$B$49</f>
        <v>8.84606771733333</v>
      </c>
      <c r="E128" s="47" t="n">
        <f aca="false">Inputs!$B$53*MAX(0,MIN(1,(Inputs!$B$57-3+0.5)/Inputs!$B$57))+$B132*IF(3&lt;=Inputs!$B$49,1,0)/Inputs!$B$49+C131*IF(2&lt;=Inputs!$B$49-1,1,IF(2=Inputs!$B$49,0.5,0))/Inputs!$B$49+D131*IF(1&lt;=Inputs!$B$49-1,1,IF(1=Inputs!$B$49,0.5,0))/Inputs!$B$49+E131*0.5/Inputs!$B$49</f>
        <v>9.36676652604334</v>
      </c>
      <c r="F128" s="47" t="n">
        <f aca="false">Inputs!$B$53*MAX(0,MIN(1,(Inputs!$B$57-4+0.5)/Inputs!$B$57))+$B132*IF(4&lt;=Inputs!$B$49,1,0)/Inputs!$B$49+C131*IF(3&lt;=Inputs!$B$49-1,1,IF(3=Inputs!$B$49,0.5,0))/Inputs!$B$49+D131*IF(2&lt;=Inputs!$B$49-1,1,IF(2=Inputs!$B$49,0.5,0))/Inputs!$B$49+E131*IF(1&lt;=Inputs!$B$49-1,1,IF(1=Inputs!$B$49,0.5,0))/Inputs!$B$49+F131*0.5/Inputs!$B$49</f>
        <v>9.6220094244008</v>
      </c>
    </row>
    <row r="129" customFormat="false" ht="15" hidden="false" customHeight="false" outlineLevel="0" collapsed="false">
      <c r="A129" s="13" t="s">
        <v>513</v>
      </c>
      <c r="B129" s="18" t="n">
        <f aca="false">Historicals!$C$72+(Inputs!$E$120+Inputs!$E$121+Inputs!$E$122)*Inputs!$E$123</f>
        <v>2.471</v>
      </c>
      <c r="C129" s="18" t="n">
        <f aca="false">C125-C126-C128</f>
        <v>4.45097820833333</v>
      </c>
      <c r="D129" s="18" t="n">
        <f aca="false">D125-D126-D128</f>
        <v>4.44318284266667</v>
      </c>
      <c r="E129" s="18" t="n">
        <f aca="false">E125-E126-E128</f>
        <v>5.03291360915667</v>
      </c>
      <c r="F129" s="18" t="n">
        <f aca="false">F125-F126-F128</f>
        <v>6.3333566830232</v>
      </c>
    </row>
    <row r="130" customFormat="false" ht="15" hidden="false" customHeight="false" outlineLevel="0" collapsed="false">
      <c r="A130" s="10" t="s">
        <v>514</v>
      </c>
      <c r="B130" s="19" t="n">
        <f aca="false">IFERROR(B129/B119,0)</f>
        <v>0.0232523125276421</v>
      </c>
      <c r="C130" s="19" t="n">
        <f aca="false">IFERROR(C129/C119,0)</f>
        <v>0.0412237083730507</v>
      </c>
      <c r="D130" s="19" t="n">
        <f aca="false">IFERROR(D129/D119,0)</f>
        <v>0.0396404809564677</v>
      </c>
      <c r="E130" s="19" t="n">
        <f aca="false">IFERROR(E129/E119,0)</f>
        <v>0.0428810086686155</v>
      </c>
      <c r="F130" s="19" t="n">
        <f aca="false">IFERROR(F129/F119,0)</f>
        <v>0.0509194500296029</v>
      </c>
    </row>
    <row r="131" customFormat="false" ht="15" hidden="false" customHeight="false" outlineLevel="0" collapsed="false">
      <c r="A131" s="10" t="s">
        <v>616</v>
      </c>
      <c r="B131" s="47" t="n">
        <f aca="false">Inputs!$B$58</f>
        <v>20</v>
      </c>
      <c r="C131" s="47" t="n">
        <f aca="false">C119*(Inputs!$E$149+(Inputs!$E$150-Inputs!$E$149)*0/3)</f>
        <v>16.195698</v>
      </c>
      <c r="D131" s="47" t="n">
        <f aca="false">D119*(Inputs!$E$149+(Inputs!$E$150-Inputs!$E$149)*1/3)</f>
        <v>14.1976874773333</v>
      </c>
      <c r="E131" s="47" t="n">
        <f aca="false">E119*(Inputs!$E$149+(Inputs!$E$150-Inputs!$E$149)*2/3)</f>
        <v>12.1281601286933</v>
      </c>
      <c r="F131" s="47" t="n">
        <f aca="false">F119*(Inputs!$E$149+(Inputs!$E$150-Inputs!$E$149)*3/3)</f>
        <v>9.9503929116928</v>
      </c>
    </row>
    <row r="132" customFormat="false" ht="15" hidden="false" customHeight="false" outlineLevel="0" collapsed="false">
      <c r="A132" s="10" t="s">
        <v>617</v>
      </c>
      <c r="B132" s="47" t="n">
        <f aca="false">Inputs!$B$58-Historicals!$C$78</f>
        <v>6.986</v>
      </c>
    </row>
    <row r="133" customFormat="false" ht="15" hidden="false" customHeight="false" outlineLevel="0" collapsed="false">
      <c r="A133" s="10" t="s">
        <v>618</v>
      </c>
      <c r="C133" s="48" t="n">
        <f aca="false">IFERROR(C131/C128,0)</f>
        <v>2.00661645877948</v>
      </c>
      <c r="D133" s="48" t="n">
        <f aca="false">IFERROR(D131/D128,0)</f>
        <v>1.60497160218589</v>
      </c>
      <c r="E133" s="48" t="n">
        <f aca="false">IFERROR(E131/E128,0)</f>
        <v>1.29480756192355</v>
      </c>
      <c r="F133" s="48" t="n">
        <f aca="false">IFERROR(F131/F128,0)</f>
        <v>1.03412836891006</v>
      </c>
    </row>
    <row r="134" customFormat="false" ht="15" hidden="false" customHeight="false" outlineLevel="0" collapsed="false">
      <c r="A134" s="10" t="s">
        <v>523</v>
      </c>
      <c r="B134" s="47" t="n">
        <f aca="false">B129-Inputs!$B$38*B131+Inputs!$B$38*B128</f>
        <v>-5.4802</v>
      </c>
      <c r="C134" s="47" t="n">
        <f aca="false">C129-Inputs!$B$38*C131+Inputs!$B$38*C128</f>
        <v>-0.423751916666669</v>
      </c>
      <c r="D134" s="47" t="n">
        <f aca="false">D129-Inputs!$B$38*D131+Inputs!$B$38*D128</f>
        <v>1.23221098666667</v>
      </c>
      <c r="E134" s="47" t="n">
        <f aca="false">E129-Inputs!$B$38*E131+Inputs!$B$38*E128</f>
        <v>3.37607744756667</v>
      </c>
      <c r="F134" s="47" t="n">
        <f aca="false">F129-Inputs!$B$38*F131+Inputs!$B$38*F128</f>
        <v>6.136326590648</v>
      </c>
    </row>
    <row r="135" customFormat="false" ht="15" hidden="false" customHeight="false" outlineLevel="0" collapsed="false">
      <c r="A135" s="10" t="s">
        <v>524</v>
      </c>
      <c r="B135" s="47" t="n">
        <f aca="false">MIN(0,MAX(0,B134),1E+099)</f>
        <v>0</v>
      </c>
      <c r="C135" s="47" t="n">
        <f aca="false">MIN(B137,MAX(0,C134),1E+099)</f>
        <v>0</v>
      </c>
      <c r="D135" s="47" t="n">
        <f aca="false">MIN(C137,MAX(0,D134),1E+099)</f>
        <v>1.23221098666667</v>
      </c>
      <c r="E135" s="47" t="n">
        <f aca="false">MIN(D137,MAX(0,E134),1E+099)</f>
        <v>3.37607744756667</v>
      </c>
      <c r="F135" s="47" t="n">
        <f aca="false">MIN(E137,MAX(0,F134),1E+099)</f>
        <v>0.871911565766657</v>
      </c>
    </row>
    <row r="136" customFormat="false" ht="15" hidden="false" customHeight="false" outlineLevel="0" collapsed="false">
      <c r="A136" s="10" t="s">
        <v>525</v>
      </c>
      <c r="B136" s="47" t="n">
        <f aca="false">MIN(0,MAX(0,B134)-B135)</f>
        <v>0</v>
      </c>
      <c r="C136" s="47" t="n">
        <f aca="false">MIN(B138,MAX(0,C134)-C135)</f>
        <v>0</v>
      </c>
      <c r="D136" s="47" t="n">
        <f aca="false">MIN(C138,MAX(0,D134)-D135)</f>
        <v>0</v>
      </c>
      <c r="E136" s="47" t="n">
        <f aca="false">MIN(D138,MAX(0,E134)-E135)</f>
        <v>0</v>
      </c>
      <c r="F136" s="47" t="n">
        <f aca="false">MIN(E138,MAX(0,F134)-F135)</f>
        <v>0.423751916666669</v>
      </c>
    </row>
    <row r="137" customFormat="false" ht="15" hidden="false" customHeight="false" outlineLevel="0" collapsed="false">
      <c r="A137" s="10" t="s">
        <v>526</v>
      </c>
      <c r="B137" s="47" t="n">
        <f aca="false">0-B135+MAX(0,-B134)</f>
        <v>5.4802</v>
      </c>
      <c r="C137" s="47" t="n">
        <f aca="false">B137-C135</f>
        <v>5.4802</v>
      </c>
      <c r="D137" s="47" t="n">
        <f aca="false">C137-D135</f>
        <v>4.24798901333333</v>
      </c>
      <c r="E137" s="47" t="n">
        <f aca="false">D137-E135</f>
        <v>0.871911565766657</v>
      </c>
      <c r="F137" s="47" t="n">
        <f aca="false">E137-F135</f>
        <v>0</v>
      </c>
    </row>
    <row r="138" customFormat="false" ht="15" hidden="false" customHeight="false" outlineLevel="0" collapsed="false">
      <c r="A138" s="10" t="s">
        <v>527</v>
      </c>
      <c r="B138" s="26" t="n">
        <v>0</v>
      </c>
      <c r="C138" s="47" t="n">
        <f aca="false">B138-C136+MAX(0,-C134)</f>
        <v>0.423751916666669</v>
      </c>
      <c r="D138" s="47" t="n">
        <f aca="false">C138-D136+MAX(0,-D134)</f>
        <v>0.423751916666669</v>
      </c>
      <c r="E138" s="47" t="n">
        <f aca="false">D138-E136+MAX(0,-E134)</f>
        <v>0.423751916666669</v>
      </c>
      <c r="F138" s="47" t="n">
        <f aca="false">E138-F136+MAX(0,-F134)</f>
        <v>0</v>
      </c>
    </row>
    <row r="139" customFormat="false" ht="15" hidden="false" customHeight="false" outlineLevel="0" collapsed="false">
      <c r="A139" s="10" t="s">
        <v>528</v>
      </c>
      <c r="B139" s="47" t="n">
        <f aca="false">MAX(0,B134-B135-B136)*Inputs!$B$34</f>
        <v>0</v>
      </c>
      <c r="C139" s="47" t="n">
        <f aca="false">MAX(0,C134-C135-C136)*Inputs!$B$34</f>
        <v>0</v>
      </c>
      <c r="D139" s="47" t="n">
        <f aca="false">MAX(0,D134-D135-D136)*Inputs!$B$34</f>
        <v>0</v>
      </c>
      <c r="E139" s="47" t="n">
        <f aca="false">MAX(0,E134-E135-E136)*Inputs!$B$34</f>
        <v>0</v>
      </c>
      <c r="F139" s="47" t="n">
        <f aca="false">MAX(0,F134-F135-F136)*Inputs!$B$34</f>
        <v>0.193626524328587</v>
      </c>
    </row>
    <row r="140" customFormat="false" ht="15" hidden="false" customHeight="false" outlineLevel="0" collapsed="false">
      <c r="A140" s="10" t="s">
        <v>529</v>
      </c>
      <c r="B140" s="47" t="n">
        <f aca="false">B134-B139</f>
        <v>-5.4802</v>
      </c>
      <c r="C140" s="47" t="n">
        <f aca="false">C134-C139</f>
        <v>-0.423751916666669</v>
      </c>
      <c r="D140" s="47" t="n">
        <f aca="false">D134-D139</f>
        <v>1.23221098666667</v>
      </c>
      <c r="E140" s="47" t="n">
        <f aca="false">E134-E139</f>
        <v>3.37607744756667</v>
      </c>
      <c r="F140" s="47" t="n">
        <f aca="false">F134-F139</f>
        <v>5.94270006631942</v>
      </c>
    </row>
    <row r="141" customFormat="false" ht="15" hidden="false" customHeight="false" outlineLevel="0" collapsed="false">
      <c r="A141" s="10" t="s">
        <v>530</v>
      </c>
      <c r="B141" s="47" t="n">
        <f aca="false">MIN(Inputs!$B$39,Inputs!$B$35*MAX(0,B140),1E+099)</f>
        <v>0</v>
      </c>
      <c r="C141" s="47" t="n">
        <f aca="false">MIN(B143,Inputs!$B$35*MAX(0,C140),1E+099)</f>
        <v>0</v>
      </c>
      <c r="D141" s="47" t="n">
        <f aca="false">MIN(C143,Inputs!$B$35*MAX(0,D140),1E+099)</f>
        <v>0.985768789333339</v>
      </c>
      <c r="E141" s="47" t="n">
        <f aca="false">MIN(D143,Inputs!$B$35*MAX(0,E140),1E+099)</f>
        <v>2.70086195805334</v>
      </c>
      <c r="F141" s="47" t="n">
        <f aca="false">MIN(E143,Inputs!$B$35*MAX(0,F140),1E+099)</f>
        <v>1.79356925261332</v>
      </c>
    </row>
    <row r="142" customFormat="false" ht="15" hidden="false" customHeight="false" outlineLevel="0" collapsed="false">
      <c r="A142" s="10" t="s">
        <v>531</v>
      </c>
      <c r="B142" s="47" t="n">
        <f aca="false">MIN(0,Inputs!$B$35*MAX(0,B140)-B141)</f>
        <v>0</v>
      </c>
      <c r="C142" s="47" t="n">
        <f aca="false">MIN(B144,Inputs!$B$35*MAX(0,C140)-C141)</f>
        <v>0</v>
      </c>
      <c r="D142" s="47" t="n">
        <f aca="false">MIN(C144,Inputs!$B$35*MAX(0,D140)-D141)</f>
        <v>0</v>
      </c>
      <c r="E142" s="47" t="n">
        <f aca="false">MIN(D144,Inputs!$B$35*MAX(0,E140)-E141)</f>
        <v>0</v>
      </c>
      <c r="F142" s="47" t="n">
        <f aca="false">MIN(E144,Inputs!$B$35*MAX(0,F140)-F141)</f>
        <v>0.423751916666669</v>
      </c>
    </row>
    <row r="143" customFormat="false" ht="15" hidden="false" customHeight="false" outlineLevel="0" collapsed="false">
      <c r="A143" s="10" t="s">
        <v>532</v>
      </c>
      <c r="B143" s="47" t="n">
        <f aca="false">Inputs!$B$39-B141+MAX(0,-B140)</f>
        <v>5.4802</v>
      </c>
      <c r="C143" s="47" t="n">
        <f aca="false">B143-C141</f>
        <v>5.4802</v>
      </c>
      <c r="D143" s="47" t="n">
        <f aca="false">C143-D141</f>
        <v>4.49443121066666</v>
      </c>
      <c r="E143" s="47" t="n">
        <f aca="false">D143-E141</f>
        <v>1.79356925261332</v>
      </c>
      <c r="F143" s="47" t="n">
        <f aca="false">E143-F141</f>
        <v>0</v>
      </c>
    </row>
    <row r="144" customFormat="false" ht="15" hidden="false" customHeight="false" outlineLevel="0" collapsed="false">
      <c r="A144" s="10" t="s">
        <v>533</v>
      </c>
      <c r="B144" s="26" t="n">
        <v>0</v>
      </c>
      <c r="C144" s="47" t="n">
        <f aca="false">B144-C142+MAX(0,-C140)</f>
        <v>0.423751916666669</v>
      </c>
      <c r="D144" s="47" t="n">
        <f aca="false">C144-D142+MAX(0,-D140)</f>
        <v>0.423751916666669</v>
      </c>
      <c r="E144" s="47" t="n">
        <f aca="false">D144-E142+MAX(0,-E140)</f>
        <v>0.423751916666669</v>
      </c>
      <c r="F144" s="47" t="n">
        <f aca="false">E144-F142+MAX(0,-F140)</f>
        <v>0</v>
      </c>
    </row>
    <row r="145" customFormat="false" ht="15" hidden="false" customHeight="false" outlineLevel="0" collapsed="false">
      <c r="A145" s="10" t="s">
        <v>534</v>
      </c>
      <c r="B145" s="47" t="n">
        <f aca="false">MAX(0,B140-B141-B142)*Inputs!$B$33</f>
        <v>0</v>
      </c>
      <c r="C145" s="47" t="n">
        <f aca="false">MAX(0,C140-C141-C142)*Inputs!$B$33</f>
        <v>0</v>
      </c>
      <c r="D145" s="47" t="n">
        <f aca="false">MAX(0,D140-D141-D142)*Inputs!$B$33</f>
        <v>0.0517528614400003</v>
      </c>
      <c r="E145" s="47" t="n">
        <f aca="false">MAX(0,E140-E141-E142)*Inputs!$B$33</f>
        <v>0.1417952527978</v>
      </c>
      <c r="F145" s="47" t="n">
        <f aca="false">MAX(0,F140-F141-F142)*Inputs!$B$33</f>
        <v>0.782329568378279</v>
      </c>
    </row>
    <row r="146" customFormat="false" ht="15" hidden="false" customHeight="false" outlineLevel="0" collapsed="false">
      <c r="A146" s="10" t="s">
        <v>535</v>
      </c>
      <c r="B146" s="47" t="n">
        <f aca="false">MIN(0,B145,MAX(0,1E+099-B141)*Inputs!$B$33)</f>
        <v>0</v>
      </c>
      <c r="C146" s="47" t="n">
        <f aca="false">MIN(B147,C145,MAX(0,1E+099-C141)*Inputs!$B$33)</f>
        <v>0</v>
      </c>
      <c r="D146" s="47" t="n">
        <f aca="false">MIN(C147,D145,MAX(0,1E+099-D141)*Inputs!$B$33)</f>
        <v>0</v>
      </c>
      <c r="E146" s="47" t="n">
        <f aca="false">MIN(D147,E145,MAX(0,1E+099-E141)*Inputs!$B$33)</f>
        <v>0</v>
      </c>
      <c r="F146" s="47" t="n">
        <f aca="false">MIN(E147,F145,MAX(0,1E+099-F141)*Inputs!$B$33)</f>
        <v>0</v>
      </c>
    </row>
    <row r="147" customFormat="false" ht="15" hidden="false" customHeight="false" outlineLevel="0" collapsed="false">
      <c r="A147" s="10" t="s">
        <v>536</v>
      </c>
      <c r="B147" s="47" t="n">
        <f aca="false">0-B146</f>
        <v>0</v>
      </c>
      <c r="C147" s="47" t="n">
        <f aca="false">B147-C146</f>
        <v>0</v>
      </c>
      <c r="D147" s="47" t="n">
        <f aca="false">C147-D146</f>
        <v>0</v>
      </c>
      <c r="E147" s="47" t="n">
        <f aca="false">D147-E146</f>
        <v>0</v>
      </c>
      <c r="F147" s="47" t="n">
        <f aca="false">E147-F146</f>
        <v>0</v>
      </c>
    </row>
    <row r="148" customFormat="false" ht="15" hidden="false" customHeight="false" outlineLevel="0" collapsed="false">
      <c r="A148" s="13" t="s">
        <v>537</v>
      </c>
      <c r="B148" s="18" t="n">
        <f aca="false">MAX(0,(Inputs!$E$120+Inputs!$E$121+Inputs!$E$122)*Inputs!$E$123)*Inputs!$B$41</f>
        <v>0.0621</v>
      </c>
      <c r="C148" s="18" t="n">
        <f aca="false">C145-C146+C139</f>
        <v>0</v>
      </c>
      <c r="D148" s="18" t="n">
        <f aca="false">D145-D146+D139</f>
        <v>0.0517528614400003</v>
      </c>
      <c r="E148" s="18" t="n">
        <f aca="false">E145-E146+E139</f>
        <v>0.1417952527978</v>
      </c>
      <c r="F148" s="18" t="n">
        <f aca="false">F145-F146+F139</f>
        <v>0.975956092706866</v>
      </c>
    </row>
    <row r="149" customFormat="false" ht="15" hidden="false" customHeight="false" outlineLevel="0" collapsed="false">
      <c r="A149" s="10" t="s">
        <v>538</v>
      </c>
      <c r="B149" s="47" t="n">
        <f aca="false">0+Inputs!$B$38*(B131-B128)</f>
        <v>7.9512</v>
      </c>
      <c r="C149" s="47" t="n">
        <f aca="false">B149+Inputs!$B$38*(C131-C128)</f>
        <v>12.825930125</v>
      </c>
      <c r="D149" s="47" t="n">
        <f aca="false">C149+Inputs!$B$38*(D131-D128)</f>
        <v>16.036901981</v>
      </c>
      <c r="E149" s="47" t="n">
        <f aca="false">D149+Inputs!$B$38*(E131-E128)</f>
        <v>17.69373814259</v>
      </c>
      <c r="F149" s="47" t="n">
        <f aca="false">E149+Inputs!$B$38*(F131-F128)</f>
        <v>17.8907682349652</v>
      </c>
    </row>
    <row r="150" customFormat="false" ht="15" hidden="false" customHeight="false" outlineLevel="0" collapsed="false">
      <c r="A150" s="10" t="s">
        <v>539</v>
      </c>
      <c r="B150" s="47" t="n">
        <f aca="false">B149*Inputs!$B$79</f>
        <v>1.92100992</v>
      </c>
      <c r="C150" s="47" t="n">
        <f aca="false">C149*Inputs!$B$79</f>
        <v>3.0987447182</v>
      </c>
      <c r="D150" s="47" t="n">
        <f aca="false">D149*Inputs!$B$79</f>
        <v>3.8745155186096</v>
      </c>
      <c r="E150" s="47" t="n">
        <f aca="false">E149*Inputs!$B$79</f>
        <v>4.27480713524974</v>
      </c>
      <c r="F150" s="47" t="n">
        <f aca="false">F149*Inputs!$B$79</f>
        <v>4.32240960556759</v>
      </c>
    </row>
    <row r="151" customFormat="false" ht="15" hidden="false" customHeight="false" outlineLevel="0" collapsed="false">
      <c r="A151" s="10" t="s">
        <v>540</v>
      </c>
      <c r="C151" s="47" t="n">
        <f aca="false">C129-C148</f>
        <v>4.45097820833333</v>
      </c>
      <c r="D151" s="47" t="n">
        <f aca="false">D129-D148</f>
        <v>4.39142998122667</v>
      </c>
      <c r="E151" s="47" t="n">
        <f aca="false">E129-E148</f>
        <v>4.89111835635887</v>
      </c>
      <c r="F151" s="47" t="n">
        <f aca="false">F129-F148</f>
        <v>5.35740059031634</v>
      </c>
    </row>
    <row r="152" customFormat="false" ht="15" hidden="false" customHeight="false" outlineLevel="0" collapsed="false">
      <c r="A152" s="10" t="s">
        <v>541</v>
      </c>
      <c r="C152" s="47" t="n">
        <f aca="false">Inputs!$B$65*(C119-B119)</f>
        <v>0</v>
      </c>
      <c r="D152" s="47" t="n">
        <f aca="false">Inputs!$B$65*(D119-C119)</f>
        <v>0</v>
      </c>
      <c r="E152" s="47" t="n">
        <f aca="false">Inputs!$B$65*(E119-D119)</f>
        <v>0</v>
      </c>
      <c r="F152" s="47" t="n">
        <f aca="false">Inputs!$B$65*(F119-E119)</f>
        <v>0</v>
      </c>
    </row>
    <row r="153" customFormat="false" ht="15" hidden="false" customHeight="false" outlineLevel="0" collapsed="false">
      <c r="A153" s="13" t="s">
        <v>542</v>
      </c>
      <c r="B153" s="18" t="n">
        <f aca="false">B154-B126</f>
        <v>-4.9471</v>
      </c>
      <c r="C153" s="18" t="n">
        <f aca="false">C129+C128-C148-C131-C152</f>
        <v>-3.673572</v>
      </c>
      <c r="D153" s="18" t="n">
        <f aca="false">D129+D128-D148-D131-D152</f>
        <v>-0.960189778773327</v>
      </c>
      <c r="E153" s="18" t="n">
        <f aca="false">E129+E128-E148-E131-E152</f>
        <v>2.12972475370887</v>
      </c>
      <c r="F153" s="18" t="n">
        <f aca="false">F129+F128-F148-F131-F152</f>
        <v>5.02901710302434</v>
      </c>
    </row>
    <row r="154" customFormat="false" ht="15" hidden="false" customHeight="false" outlineLevel="0" collapsed="false">
      <c r="A154" s="10" t="s">
        <v>543</v>
      </c>
      <c r="B154" s="47" t="n">
        <f aca="false">(Inputs!$E$120+Inputs!$E$121+Inputs!$E$122)*Inputs!$E$123+Inputs!$B$53/4+B126-B148-B132</f>
        <v>-3.8431</v>
      </c>
      <c r="C154" s="47" t="n">
        <f aca="false">C153+C126+C127</f>
        <v>0.645280799999997</v>
      </c>
      <c r="D154" s="47" t="n">
        <f aca="false">D153+D126+D127</f>
        <v>3.52329047722667</v>
      </c>
      <c r="E154" s="47" t="n">
        <f aca="false">E153+E126+E127</f>
        <v>6.82449641642887</v>
      </c>
      <c r="F154" s="47" t="n">
        <f aca="false">F153+F126+F127</f>
        <v>10.0042135588707</v>
      </c>
    </row>
    <row r="155" customFormat="false" ht="15" hidden="false" customHeight="false" outlineLevel="0" collapsed="false">
      <c r="A155" s="10" t="s">
        <v>544</v>
      </c>
      <c r="B155" s="47" t="n">
        <f aca="false">Historicals!$B$87</f>
        <v>45.447</v>
      </c>
      <c r="C155" s="47" t="n">
        <f aca="false">B166</f>
        <v>41.8977788944724</v>
      </c>
      <c r="D155" s="47" t="n">
        <f aca="false">C166</f>
        <v>43.6833012983284</v>
      </c>
      <c r="E155" s="47" t="n">
        <f aca="false">D166</f>
        <v>48.4784467362466</v>
      </c>
      <c r="F155" s="47" t="n">
        <f aca="false">E166</f>
        <v>56.8378898851024</v>
      </c>
    </row>
    <row r="156" customFormat="false" ht="15" hidden="false" customHeight="false" outlineLevel="0" collapsed="false">
      <c r="A156" s="10" t="s">
        <v>545</v>
      </c>
      <c r="B156" s="47" t="n">
        <f aca="false">Historicals!$B$88</f>
        <v>9.523</v>
      </c>
      <c r="C156" s="47" t="n">
        <f aca="false">B167</f>
        <v>9.523</v>
      </c>
      <c r="D156" s="47" t="n">
        <f aca="false">C167</f>
        <v>9.523</v>
      </c>
      <c r="E156" s="47" t="n">
        <f aca="false">D167</f>
        <v>9.523</v>
      </c>
      <c r="F156" s="47" t="n">
        <f aca="false">E167</f>
        <v>9.523</v>
      </c>
    </row>
    <row r="157" customFormat="false" ht="15" hidden="false" customHeight="false" outlineLevel="0" collapsed="false">
      <c r="A157" s="10" t="s">
        <v>546</v>
      </c>
      <c r="B157" s="26" t="n">
        <v>0</v>
      </c>
      <c r="C157" s="47" t="n">
        <f aca="false">Inputs!$B$63</f>
        <v>0</v>
      </c>
      <c r="D157" s="26" t="n">
        <v>0</v>
      </c>
      <c r="E157" s="26" t="n">
        <v>0</v>
      </c>
      <c r="F157" s="26" t="n">
        <v>0</v>
      </c>
    </row>
    <row r="158" customFormat="false" ht="15" hidden="false" customHeight="false" outlineLevel="0" collapsed="false">
      <c r="A158" s="10" t="s">
        <v>547</v>
      </c>
      <c r="B158" s="47" t="n">
        <f aca="false">(B155+B154-B157+Inputs!$B$60/4*B155/2-Inputs!$B$61/4*(B156-B157/2))/(1-Inputs!$B$60/4/2)</f>
        <v>41.8977788944724</v>
      </c>
      <c r="C158" s="47" t="n">
        <f aca="false">(C155+C154-C157+Inputs!$B$60*C155/2-Inputs!$B$61*(C156-C157/2))/(1-Inputs!$B$60/2)</f>
        <v>43.6833012983284</v>
      </c>
      <c r="D158" s="47" t="n">
        <f aca="false">(D155+D154-D157+Inputs!$B$60*D155/2-Inputs!$B$61*(D156-D157/2))/(1-Inputs!$B$60/2)</f>
        <v>48.4784467362466</v>
      </c>
      <c r="E158" s="47" t="n">
        <f aca="false">(E155+E154-E157+Inputs!$B$60*E155/2-Inputs!$B$61*(E156-E157/2))/(1-Inputs!$B$60/2)</f>
        <v>56.8378898851024</v>
      </c>
      <c r="F158" s="47" t="n">
        <f aca="false">(F155+F154-F157+Inputs!$B$60*F155/2-Inputs!$B$61*(F156-F157/2))/(1-Inputs!$B$60/2)</f>
        <v>68.7831441241584</v>
      </c>
    </row>
    <row r="159" customFormat="false" ht="15" hidden="false" customHeight="false" outlineLevel="0" collapsed="false">
      <c r="A159" s="10" t="s">
        <v>548</v>
      </c>
      <c r="B159" s="47" t="n">
        <f aca="false">IF(B158&gt;=Inputs!$B$67,0,(Inputs!$B$67-B155-B154+B157-Inputs!$B$60/4*(B155+Inputs!$B$67)/2+Inputs!$B$61/4*(B156-B157/2))/(1-Inputs!$B$61/4*Inputs!$B$69/(2*(1-Inputs!$B$70))))</f>
        <v>0</v>
      </c>
      <c r="C159" s="47" t="n">
        <f aca="false">IF(C158&gt;=Inputs!$B$67,0,(Inputs!$B$67-C155-C154+C157-Inputs!$B$60*(C155+Inputs!$B$67)/2+Inputs!$B$61*(C156-C157/2))/(1-Inputs!$B$61*Inputs!$B$69/(2*(1-Inputs!$B$70))))</f>
        <v>0</v>
      </c>
      <c r="D159" s="47" t="n">
        <f aca="false">IF(D158&gt;=Inputs!$B$67,0,(Inputs!$B$67-D155-D154+D157-Inputs!$B$60*(D155+Inputs!$B$67)/2+Inputs!$B$61*(D156-D157/2))/(1-Inputs!$B$61*Inputs!$B$69/(2*(1-Inputs!$B$70))))</f>
        <v>0</v>
      </c>
      <c r="E159" s="47" t="n">
        <f aca="false">IF(E158&gt;=Inputs!$B$67,0,(Inputs!$B$67-E155-E154+E157-Inputs!$B$60*(E155+Inputs!$B$67)/2+Inputs!$B$61*(E156-E157/2))/(1-Inputs!$B$61*Inputs!$B$69/(2*(1-Inputs!$B$70))))</f>
        <v>0</v>
      </c>
      <c r="F159" s="47" t="n">
        <f aca="false">IF(F158&gt;=Inputs!$B$67,0,(Inputs!$B$67-F155-F154+F157-Inputs!$B$60*(F155+Inputs!$B$67)/2+Inputs!$B$61*(F156-F157/2))/(1-Inputs!$B$61*Inputs!$B$69/(2*(1-Inputs!$B$70))))</f>
        <v>0</v>
      </c>
    </row>
    <row r="160" customFormat="false" ht="15" hidden="false" customHeight="false" outlineLevel="0" collapsed="false">
      <c r="A160" s="10" t="s">
        <v>549</v>
      </c>
      <c r="B160" s="47" t="n">
        <f aca="false">B159/(1-Inputs!$B$70)</f>
        <v>0</v>
      </c>
      <c r="C160" s="47" t="n">
        <f aca="false">C159/(1-Inputs!$B$70)</f>
        <v>0</v>
      </c>
      <c r="D160" s="47" t="n">
        <f aca="false">D159/(1-Inputs!$B$70)</f>
        <v>0</v>
      </c>
      <c r="E160" s="47" t="n">
        <f aca="false">E159/(1-Inputs!$B$70)</f>
        <v>0</v>
      </c>
      <c r="F160" s="47" t="n">
        <f aca="false">F159/(1-Inputs!$B$70)</f>
        <v>0</v>
      </c>
    </row>
    <row r="161" customFormat="false" ht="15" hidden="false" customHeight="false" outlineLevel="0" collapsed="false">
      <c r="A161" s="10" t="s">
        <v>550</v>
      </c>
      <c r="B161" s="47" t="n">
        <f aca="false">B160*Inputs!$B$69</f>
        <v>0</v>
      </c>
      <c r="C161" s="47" t="n">
        <f aca="false">C160*Inputs!$B$69</f>
        <v>0</v>
      </c>
      <c r="D161" s="47" t="n">
        <f aca="false">D160*Inputs!$B$69</f>
        <v>0</v>
      </c>
      <c r="E161" s="47" t="n">
        <f aca="false">E160*Inputs!$B$69</f>
        <v>0</v>
      </c>
      <c r="F161" s="47" t="n">
        <f aca="false">F160*Inputs!$B$69</f>
        <v>0</v>
      </c>
    </row>
    <row r="162" customFormat="false" ht="15" hidden="false" customHeight="false" outlineLevel="0" collapsed="false">
      <c r="A162" s="10" t="s">
        <v>551</v>
      </c>
      <c r="B162" s="47" t="n">
        <f aca="false">B160-B161</f>
        <v>0</v>
      </c>
      <c r="C162" s="47" t="n">
        <f aca="false">C160-C161</f>
        <v>0</v>
      </c>
      <c r="D162" s="47" t="n">
        <f aca="false">D160-D161</f>
        <v>0</v>
      </c>
      <c r="E162" s="47" t="n">
        <f aca="false">E160-E161</f>
        <v>0</v>
      </c>
      <c r="F162" s="47" t="n">
        <f aca="false">F160-F161</f>
        <v>0</v>
      </c>
    </row>
    <row r="163" customFormat="false" ht="15" hidden="false" customHeight="false" outlineLevel="0" collapsed="false">
      <c r="A163" s="10" t="s">
        <v>552</v>
      </c>
      <c r="B163" s="47" t="n">
        <f aca="false">B160-B159</f>
        <v>0</v>
      </c>
      <c r="C163" s="47" t="n">
        <f aca="false">C160-C159</f>
        <v>0</v>
      </c>
      <c r="D163" s="47" t="n">
        <f aca="false">D160-D159</f>
        <v>0</v>
      </c>
      <c r="E163" s="47" t="n">
        <f aca="false">E160-E159</f>
        <v>0</v>
      </c>
      <c r="F163" s="47" t="n">
        <f aca="false">F160-F159</f>
        <v>0</v>
      </c>
    </row>
    <row r="164" customFormat="false" ht="15" hidden="false" customHeight="false" outlineLevel="0" collapsed="false">
      <c r="A164" s="10" t="s">
        <v>553</v>
      </c>
      <c r="B164" s="47" t="n">
        <f aca="false">Inputs!$B$60/4*(B155+B166)/2</f>
        <v>0.436723894472362</v>
      </c>
      <c r="C164" s="47" t="n">
        <f aca="false">Inputs!$B$60*(C155+C166)/2</f>
        <v>1.71162160385602</v>
      </c>
      <c r="D164" s="47" t="n">
        <f aca="false">Inputs!$B$60*(D155+D166)/2</f>
        <v>1.8432349606915</v>
      </c>
      <c r="E164" s="47" t="n">
        <f aca="false">Inputs!$B$60*(E155+E166)/2</f>
        <v>2.10632673242698</v>
      </c>
      <c r="F164" s="47" t="n">
        <f aca="false">Inputs!$B$60*(F155+F166)/2</f>
        <v>2.51242068018522</v>
      </c>
    </row>
    <row r="165" customFormat="false" ht="15" hidden="false" customHeight="false" outlineLevel="0" collapsed="false">
      <c r="A165" s="10" t="s">
        <v>554</v>
      </c>
      <c r="B165" s="47" t="n">
        <f aca="false">Inputs!$B$61/4*(B156-B157/2+B161/2)</f>
        <v>0.142845</v>
      </c>
      <c r="C165" s="47" t="n">
        <f aca="false">Inputs!$B$61*(C156-C157/2+C161/2)</f>
        <v>0.57138</v>
      </c>
      <c r="D165" s="47" t="n">
        <f aca="false">Inputs!$B$61*(D156-D157/2+D161/2)</f>
        <v>0.57138</v>
      </c>
      <c r="E165" s="47" t="n">
        <f aca="false">Inputs!$B$61*(E156-E157/2+E161/2)</f>
        <v>0.57138</v>
      </c>
      <c r="F165" s="47" t="n">
        <f aca="false">Inputs!$B$61*(F156-F157/2+F161/2)</f>
        <v>0.57138</v>
      </c>
    </row>
    <row r="166" customFormat="false" ht="15" hidden="false" customHeight="false" outlineLevel="0" collapsed="false">
      <c r="A166" s="13" t="s">
        <v>555</v>
      </c>
      <c r="B166" s="18" t="n">
        <f aca="false">IF(B159&gt;0,Inputs!$B$67,B158)</f>
        <v>41.8977788944724</v>
      </c>
      <c r="C166" s="18" t="n">
        <f aca="false">IF(C159&gt;0,Inputs!$B$67,C158)</f>
        <v>43.6833012983284</v>
      </c>
      <c r="D166" s="18" t="n">
        <f aca="false">IF(D159&gt;0,Inputs!$B$67,D158)</f>
        <v>48.4784467362466</v>
      </c>
      <c r="E166" s="18" t="n">
        <f aca="false">IF(E159&gt;0,Inputs!$B$67,E158)</f>
        <v>56.8378898851024</v>
      </c>
      <c r="F166" s="18" t="n">
        <f aca="false">IF(F159&gt;0,Inputs!$B$67,F158)</f>
        <v>68.7831441241584</v>
      </c>
    </row>
    <row r="167" customFormat="false" ht="15" hidden="false" customHeight="false" outlineLevel="0" collapsed="false">
      <c r="A167" s="10" t="s">
        <v>556</v>
      </c>
      <c r="B167" s="47" t="n">
        <f aca="false">B156-B157+B161</f>
        <v>9.523</v>
      </c>
      <c r="C167" s="47" t="n">
        <f aca="false">C156-C157+C161</f>
        <v>9.523</v>
      </c>
      <c r="D167" s="47" t="n">
        <f aca="false">D156-D157+D161</f>
        <v>9.523</v>
      </c>
      <c r="E167" s="47" t="n">
        <f aca="false">E156-E157+E161</f>
        <v>9.523</v>
      </c>
      <c r="F167" s="47" t="n">
        <f aca="false">F156-F157+F161</f>
        <v>9.523</v>
      </c>
    </row>
    <row r="168" customFormat="false" ht="15" hidden="false" customHeight="false" outlineLevel="0" collapsed="false">
      <c r="A168" s="13" t="s">
        <v>557</v>
      </c>
      <c r="B168" s="18" t="n">
        <f aca="false">B166-B167</f>
        <v>32.3747788944724</v>
      </c>
      <c r="C168" s="18" t="n">
        <f aca="false">C166-C167</f>
        <v>34.1603012983284</v>
      </c>
      <c r="D168" s="18" t="n">
        <f aca="false">D166-D167</f>
        <v>38.9554467362466</v>
      </c>
      <c r="E168" s="18" t="n">
        <f aca="false">E166-E167</f>
        <v>47.3148898851024</v>
      </c>
      <c r="F168" s="18" t="n">
        <f aca="false">F166-F167</f>
        <v>59.2601441241584</v>
      </c>
    </row>
    <row r="169" customFormat="false" ht="15" hidden="false" customHeight="false" outlineLevel="0" collapsed="false">
      <c r="A169" s="10" t="s">
        <v>558</v>
      </c>
      <c r="B169" s="33" t="n">
        <f aca="false">ROUND(B155+B154-B157+B164-B165+B159-B166,6)</f>
        <v>0</v>
      </c>
      <c r="C169" s="33" t="n">
        <f aca="false">ROUND(C155+C154-C157+C164-C165+C159-C166,6)</f>
        <v>0</v>
      </c>
      <c r="D169" s="33" t="n">
        <f aca="false">ROUND(D155+D154-D157+D164-D165+D159-D166,6)</f>
        <v>0</v>
      </c>
      <c r="E169" s="33" t="n">
        <f aca="false">ROUND(E155+E154-E157+E164-E165+E159-E166,6)</f>
        <v>0</v>
      </c>
      <c r="F169" s="33" t="n">
        <f aca="false">ROUND(F155+F154-F157+F164-F165+F159-F166,6)</f>
        <v>0</v>
      </c>
    </row>
    <row r="170" customFormat="false" ht="15" hidden="false" customHeight="false" outlineLevel="0" collapsed="false">
      <c r="A170" s="10" t="s">
        <v>559</v>
      </c>
      <c r="B170" s="47" t="n">
        <f aca="false">B160</f>
        <v>0</v>
      </c>
      <c r="C170" s="47" t="n">
        <f aca="false">B170+C160</f>
        <v>0</v>
      </c>
      <c r="D170" s="47" t="n">
        <f aca="false">C170+D160</f>
        <v>0</v>
      </c>
      <c r="E170" s="47" t="n">
        <f aca="false">D170+E160</f>
        <v>0</v>
      </c>
      <c r="F170" s="47" t="n">
        <f aca="false">E170+F160</f>
        <v>0</v>
      </c>
    </row>
    <row r="171" customFormat="false" ht="15" hidden="false" customHeight="false" outlineLevel="0" collapsed="false">
      <c r="A171" s="10" t="s">
        <v>560</v>
      </c>
      <c r="B171" s="49" t="str">
        <f aca="false">IF(B170&gt;Inputs!$B$73,"UNFUNDED: above limit",IF(B160&gt;0,"Raising","OK"))</f>
        <v>OK</v>
      </c>
      <c r="C171" s="49" t="str">
        <f aca="false">IF(C170&gt;Inputs!$B$73,"UNFUNDED: above limit",IF(C160&gt;0,"Raising","OK"))</f>
        <v>OK</v>
      </c>
      <c r="D171" s="49" t="str">
        <f aca="false">IF(D170&gt;Inputs!$B$73,"UNFUNDED: above limit",IF(D160&gt;0,"Raising","OK"))</f>
        <v>OK</v>
      </c>
      <c r="E171" s="49" t="str">
        <f aca="false">IF(E170&gt;Inputs!$B$73,"UNFUNDED: above limit",IF(E160&gt;0,"Raising","OK"))</f>
        <v>OK</v>
      </c>
      <c r="F171" s="49" t="str">
        <f aca="false">IF(F170&gt;Inputs!$B$73,"UNFUNDED: above limit",IF(F160&gt;0,"Raising","OK"))</f>
        <v>OK</v>
      </c>
    </row>
    <row r="172" customFormat="false" ht="15" hidden="false" customHeight="false" outlineLevel="0" collapsed="false">
      <c r="A172" s="10" t="s">
        <v>561</v>
      </c>
      <c r="B172" s="47" t="n">
        <f aca="false">$F$129</f>
        <v>6.3333566830232</v>
      </c>
    </row>
    <row r="173" customFormat="false" ht="15" hidden="false" customHeight="false" outlineLevel="0" collapsed="false">
      <c r="A173" s="10" t="s">
        <v>562</v>
      </c>
      <c r="B173" s="19" t="n">
        <f aca="false">IF(Inputs!$B$8=1,Inputs!$B$79,IFERROR($F$148/$F$129,0))</f>
        <v>0.2416</v>
      </c>
    </row>
    <row r="174" customFormat="false" ht="15" hidden="false" customHeight="false" outlineLevel="0" collapsed="false">
      <c r="A174" s="10" t="s">
        <v>563</v>
      </c>
      <c r="B174" s="47" t="n">
        <f aca="false">$B$172*(1-$B$173)</f>
        <v>4.8032177084048</v>
      </c>
    </row>
    <row r="175" customFormat="false" ht="15" hidden="false" customHeight="false" outlineLevel="0" collapsed="false">
      <c r="A175" s="10" t="s">
        <v>564</v>
      </c>
      <c r="B175" s="50" t="n">
        <f aca="false">Inputs!$E$152</f>
        <v>20</v>
      </c>
    </row>
    <row r="176" customFormat="false" ht="15" hidden="false" customHeight="false" outlineLevel="0" collapsed="false">
      <c r="A176" s="10" t="s">
        <v>565</v>
      </c>
      <c r="B176" s="47" t="n">
        <f aca="false">$B$174*$B$175*$F$527</f>
        <v>63.2805656017602</v>
      </c>
    </row>
    <row r="177" customFormat="false" ht="15" hidden="false" customHeight="false" outlineLevel="0" collapsed="false">
      <c r="A177" s="10" t="s">
        <v>566</v>
      </c>
      <c r="B177" s="47" t="n">
        <f aca="false">SUMPRODUCT($C$153:$F$153,$C$527:$F$527)</f>
        <v>0.781169830773897</v>
      </c>
    </row>
    <row r="178" customFormat="false" ht="15" hidden="false" customHeight="false" outlineLevel="0" collapsed="false">
      <c r="A178" s="10" t="s">
        <v>567</v>
      </c>
      <c r="B178" s="18" t="n">
        <f aca="false">$B$176+$B$177</f>
        <v>64.0617354325341</v>
      </c>
    </row>
    <row r="179" customFormat="false" ht="15" hidden="false" customHeight="false" outlineLevel="0" collapsed="false">
      <c r="A179" s="10" t="s">
        <v>568</v>
      </c>
      <c r="B179" s="47" t="n">
        <f aca="false">$B$174+$F$128-$F$131-$F$152</f>
        <v>4.4748342211128</v>
      </c>
    </row>
    <row r="180" customFormat="false" ht="15" hidden="false" customHeight="false" outlineLevel="0" collapsed="false">
      <c r="A180" s="10" t="s">
        <v>569</v>
      </c>
      <c r="B180" s="50" t="n">
        <f aca="false">Inputs!$E$153</f>
        <v>16</v>
      </c>
    </row>
    <row r="181" customFormat="false" ht="15" hidden="false" customHeight="false" outlineLevel="0" collapsed="false">
      <c r="A181" s="10" t="s">
        <v>570</v>
      </c>
      <c r="B181" s="47" t="n">
        <f aca="false">$B$179*$B$180*$F$527</f>
        <v>47.1633904897763</v>
      </c>
    </row>
    <row r="182" customFormat="false" ht="15" hidden="false" customHeight="false" outlineLevel="0" collapsed="false">
      <c r="A182" s="10" t="s">
        <v>571</v>
      </c>
      <c r="B182" s="18" t="n">
        <f aca="false">$B$177+$B$181</f>
        <v>47.9445603205502</v>
      </c>
    </row>
    <row r="183" customFormat="false" ht="15" hidden="false" customHeight="false" outlineLevel="0" collapsed="false">
      <c r="A183" s="13" t="s">
        <v>572</v>
      </c>
      <c r="B183" s="18" t="n">
        <f aca="false">$B$178*Inputs!$B$7+$B$182*(1-Inputs!$B$7)</f>
        <v>56.0031478765421</v>
      </c>
    </row>
    <row r="184" customFormat="false" ht="15" hidden="false" customHeight="false" outlineLevel="0" collapsed="false">
      <c r="A184" s="10" t="s">
        <v>573</v>
      </c>
      <c r="B184" s="47" t="n">
        <f aca="false">MAX(0,$F$134)</f>
        <v>6.136326590648</v>
      </c>
      <c r="H184" s="51" t="n">
        <v>1</v>
      </c>
      <c r="I184" s="51" t="n">
        <v>2</v>
      </c>
      <c r="J184" s="51" t="n">
        <v>3</v>
      </c>
      <c r="K184" s="51" t="n">
        <v>4</v>
      </c>
      <c r="L184" s="51" t="n">
        <v>5</v>
      </c>
      <c r="M184" s="51" t="n">
        <v>6</v>
      </c>
      <c r="N184" s="51" t="n">
        <v>7</v>
      </c>
      <c r="O184" s="51" t="n">
        <v>8</v>
      </c>
      <c r="P184" s="51" t="n">
        <v>9</v>
      </c>
      <c r="Q184" s="51" t="n">
        <v>10</v>
      </c>
      <c r="R184" s="51" t="n">
        <v>11</v>
      </c>
      <c r="S184" s="51" t="n">
        <v>12</v>
      </c>
      <c r="T184" s="51" t="n">
        <v>13</v>
      </c>
      <c r="U184" s="51" t="n">
        <v>14</v>
      </c>
      <c r="V184" s="51" t="n">
        <v>15</v>
      </c>
      <c r="W184" s="51" t="n">
        <v>16</v>
      </c>
      <c r="X184" s="51" t="n">
        <v>17</v>
      </c>
      <c r="Y184" s="51" t="n">
        <v>18</v>
      </c>
      <c r="Z184" s="51" t="n">
        <v>19</v>
      </c>
      <c r="AA184" s="51" t="n">
        <v>20</v>
      </c>
      <c r="AB184" s="51" t="n">
        <v>21</v>
      </c>
      <c r="AC184" s="51" t="n">
        <v>22</v>
      </c>
      <c r="AD184" s="51" t="n">
        <v>23</v>
      </c>
      <c r="AE184" s="51" t="n">
        <v>24</v>
      </c>
      <c r="AF184" s="51" t="n">
        <v>25</v>
      </c>
      <c r="AG184" s="51" t="n">
        <v>26</v>
      </c>
      <c r="AH184" s="51" t="n">
        <v>27</v>
      </c>
      <c r="AI184" s="51" t="n">
        <v>28</v>
      </c>
      <c r="AJ184" s="51" t="n">
        <v>29</v>
      </c>
      <c r="AK184" s="51" t="n">
        <v>30</v>
      </c>
    </row>
    <row r="185" customFormat="false" ht="15" hidden="false" customHeight="false" outlineLevel="0" collapsed="false">
      <c r="A185" s="10" t="s">
        <v>574</v>
      </c>
      <c r="H185" s="25" t="n">
        <f aca="false">1/(1+Inputs!$B$6)^1</f>
        <v>0.900900900900901</v>
      </c>
      <c r="I185" s="25" t="n">
        <f aca="false">1/(1+Inputs!$B$6)^2</f>
        <v>0.811622433244055</v>
      </c>
      <c r="J185" s="25" t="n">
        <f aca="false">1/(1+Inputs!$B$6)^3</f>
        <v>0.73119138130095</v>
      </c>
      <c r="K185" s="25" t="n">
        <f aca="false">1/(1+Inputs!$B$6)^4</f>
        <v>0.658730974145</v>
      </c>
      <c r="L185" s="25" t="n">
        <f aca="false">1/(1+Inputs!$B$6)^5</f>
        <v>0.593451328058559</v>
      </c>
      <c r="M185" s="25" t="n">
        <f aca="false">1/(1+Inputs!$B$6)^6</f>
        <v>0.534640836088791</v>
      </c>
      <c r="N185" s="25" t="n">
        <f aca="false">1/(1+Inputs!$B$6)^7</f>
        <v>0.481658410890803</v>
      </c>
      <c r="O185" s="25" t="n">
        <f aca="false">1/(1+Inputs!$B$6)^8</f>
        <v>0.433926496298021</v>
      </c>
      <c r="P185" s="25" t="n">
        <f aca="false">1/(1+Inputs!$B$6)^9</f>
        <v>0.390924771439658</v>
      </c>
      <c r="Q185" s="25" t="n">
        <f aca="false">1/(1+Inputs!$B$6)^10</f>
        <v>0.352184478774467</v>
      </c>
      <c r="R185" s="25" t="n">
        <f aca="false">1/(1+Inputs!$B$6)^11</f>
        <v>0.317283314211231</v>
      </c>
      <c r="S185" s="25" t="n">
        <f aca="false">1/(1+Inputs!$B$6)^12</f>
        <v>0.285840823613722</v>
      </c>
      <c r="T185" s="25" t="n">
        <f aca="false">1/(1+Inputs!$B$6)^13</f>
        <v>0.257514255507858</v>
      </c>
      <c r="U185" s="25" t="n">
        <f aca="false">1/(1+Inputs!$B$6)^14</f>
        <v>0.231994824781854</v>
      </c>
      <c r="V185" s="25" t="n">
        <f aca="false">1/(1+Inputs!$B$6)^15</f>
        <v>0.209004346650319</v>
      </c>
      <c r="W185" s="25" t="n">
        <f aca="false">1/(1+Inputs!$B$6)^16</f>
        <v>0.188292204189476</v>
      </c>
      <c r="X185" s="25" t="n">
        <f aca="false">1/(1+Inputs!$B$6)^17</f>
        <v>0.169632616386915</v>
      </c>
      <c r="Y185" s="25" t="n">
        <f aca="false">1/(1+Inputs!$B$6)^18</f>
        <v>0.152822176925149</v>
      </c>
      <c r="Z185" s="25" t="n">
        <f aca="false">1/(1+Inputs!$B$6)^19</f>
        <v>0.137677636869504</v>
      </c>
      <c r="AA185" s="25" t="n">
        <f aca="false">1/(1+Inputs!$B$6)^20</f>
        <v>0.124033907089643</v>
      </c>
      <c r="AB185" s="25" t="n">
        <f aca="false">1/(1+Inputs!$B$6)^21</f>
        <v>0.111742258639318</v>
      </c>
      <c r="AC185" s="25" t="n">
        <f aca="false">1/(1+Inputs!$B$6)^22</f>
        <v>0.100668701476863</v>
      </c>
      <c r="AD185" s="25" t="n">
        <f aca="false">1/(1+Inputs!$B$6)^23</f>
        <v>0.0906925238530297</v>
      </c>
      <c r="AE185" s="25" t="n">
        <f aca="false">1/(1+Inputs!$B$6)^24</f>
        <v>0.0817049764441709</v>
      </c>
      <c r="AF185" s="25" t="n">
        <f aca="false">1/(1+Inputs!$B$6)^25</f>
        <v>0.0736080868866405</v>
      </c>
      <c r="AG185" s="25" t="n">
        <f aca="false">1/(1+Inputs!$B$6)^26</f>
        <v>0.0663135917897662</v>
      </c>
      <c r="AH185" s="25" t="n">
        <f aca="false">1/(1+Inputs!$B$6)^27</f>
        <v>0.0597419745853749</v>
      </c>
      <c r="AI185" s="25" t="n">
        <f aca="false">1/(1+Inputs!$B$6)^28</f>
        <v>0.053821598725563</v>
      </c>
      <c r="AJ185" s="25" t="n">
        <f aca="false">1/(1+Inputs!$B$6)^29</f>
        <v>0.0484879267797865</v>
      </c>
      <c r="AK185" s="25" t="n">
        <f aca="false">1/(1+Inputs!$B$6)^30</f>
        <v>0.0436828169187266</v>
      </c>
    </row>
    <row r="186" customFormat="false" ht="15" hidden="false" customHeight="false" outlineLevel="0" collapsed="false">
      <c r="A186" s="10" t="s">
        <v>575</v>
      </c>
      <c r="G186" s="47" t="n">
        <f aca="false">$F$137</f>
        <v>0</v>
      </c>
      <c r="H186" s="47" t="n">
        <f aca="false">G186</f>
        <v>0</v>
      </c>
      <c r="I186" s="47" t="n">
        <f aca="false">H186-H187</f>
        <v>0</v>
      </c>
      <c r="J186" s="47" t="n">
        <f aca="false">I186-I187</f>
        <v>0</v>
      </c>
      <c r="K186" s="47" t="n">
        <f aca="false">J186-J187</f>
        <v>0</v>
      </c>
      <c r="L186" s="47" t="n">
        <f aca="false">K186-K187</f>
        <v>0</v>
      </c>
      <c r="M186" s="47" t="n">
        <f aca="false">L186-L187</f>
        <v>0</v>
      </c>
      <c r="N186" s="47" t="n">
        <f aca="false">M186-M187</f>
        <v>0</v>
      </c>
      <c r="O186" s="47" t="n">
        <f aca="false">N186-N187</f>
        <v>0</v>
      </c>
      <c r="P186" s="47" t="n">
        <f aca="false">O186-O187</f>
        <v>0</v>
      </c>
      <c r="Q186" s="47" t="n">
        <f aca="false">P186-P187</f>
        <v>0</v>
      </c>
      <c r="R186" s="47" t="n">
        <f aca="false">Q186-Q187</f>
        <v>0</v>
      </c>
      <c r="S186" s="47" t="n">
        <f aca="false">R186-R187</f>
        <v>0</v>
      </c>
      <c r="T186" s="47" t="n">
        <f aca="false">S186-S187</f>
        <v>0</v>
      </c>
      <c r="U186" s="47" t="n">
        <f aca="false">T186-T187</f>
        <v>0</v>
      </c>
      <c r="V186" s="47" t="n">
        <f aca="false">U186-U187</f>
        <v>0</v>
      </c>
      <c r="W186" s="47" t="n">
        <f aca="false">V186-V187</f>
        <v>0</v>
      </c>
      <c r="X186" s="47" t="n">
        <f aca="false">W186-W187</f>
        <v>0</v>
      </c>
      <c r="Y186" s="47" t="n">
        <f aca="false">X186-X187</f>
        <v>0</v>
      </c>
      <c r="Z186" s="47" t="n">
        <f aca="false">Y186-Y187</f>
        <v>0</v>
      </c>
      <c r="AA186" s="47" t="n">
        <f aca="false">Z186-Z187</f>
        <v>0</v>
      </c>
      <c r="AB186" s="47" t="n">
        <f aca="false">AA186-AA187</f>
        <v>0</v>
      </c>
      <c r="AC186" s="47" t="n">
        <f aca="false">AB186-AB187</f>
        <v>0</v>
      </c>
      <c r="AD186" s="47" t="n">
        <f aca="false">AC186-AC187</f>
        <v>0</v>
      </c>
      <c r="AE186" s="47" t="n">
        <f aca="false">AD186-AD187</f>
        <v>0</v>
      </c>
      <c r="AF186" s="47" t="n">
        <f aca="false">AE186-AE187</f>
        <v>0</v>
      </c>
      <c r="AG186" s="47" t="n">
        <f aca="false">AF186-AF187</f>
        <v>0</v>
      </c>
      <c r="AH186" s="47" t="n">
        <f aca="false">AG186-AG187</f>
        <v>0</v>
      </c>
      <c r="AI186" s="47" t="n">
        <f aca="false">AH186-AH187</f>
        <v>0</v>
      </c>
      <c r="AJ186" s="47" t="n">
        <f aca="false">AI186-AI187</f>
        <v>0</v>
      </c>
      <c r="AK186" s="47" t="n">
        <f aca="false">AJ186-AJ187</f>
        <v>0</v>
      </c>
    </row>
    <row r="187" customFormat="false" ht="15" hidden="false" customHeight="false" outlineLevel="0" collapsed="false">
      <c r="A187" s="10" t="s">
        <v>576</v>
      </c>
      <c r="H187" s="47" t="n">
        <f aca="false">IF(1&lt;=Inputs!$B$44,MIN(H186,$B$184,1E+099),0)</f>
        <v>0</v>
      </c>
      <c r="I187" s="47" t="n">
        <f aca="false">IF(2&lt;=Inputs!$B$44,MIN(I186,$B$184,1E+099),0)</f>
        <v>0</v>
      </c>
      <c r="J187" s="47" t="n">
        <f aca="false">IF(3&lt;=Inputs!$B$44,MIN(J186,$B$184,1E+099),0)</f>
        <v>0</v>
      </c>
      <c r="K187" s="47" t="n">
        <f aca="false">IF(4&lt;=Inputs!$B$44,MIN(K186,$B$184,1E+099),0)</f>
        <v>0</v>
      </c>
      <c r="L187" s="47" t="n">
        <f aca="false">IF(5&lt;=Inputs!$B$44,MIN(L186,$B$184,1E+099),0)</f>
        <v>0</v>
      </c>
      <c r="M187" s="47" t="n">
        <f aca="false">IF(6&lt;=Inputs!$B$44,MIN(M186,$B$184,1E+099),0)</f>
        <v>0</v>
      </c>
      <c r="N187" s="47" t="n">
        <f aca="false">IF(7&lt;=Inputs!$B$44,MIN(N186,$B$184,1E+099),0)</f>
        <v>0</v>
      </c>
      <c r="O187" s="47" t="n">
        <f aca="false">IF(8&lt;=Inputs!$B$44,MIN(O186,$B$184,1E+099),0)</f>
        <v>0</v>
      </c>
      <c r="P187" s="47" t="n">
        <f aca="false">IF(9&lt;=Inputs!$B$44,MIN(P186,$B$184,1E+099),0)</f>
        <v>0</v>
      </c>
      <c r="Q187" s="47" t="n">
        <f aca="false">IF(10&lt;=Inputs!$B$44,MIN(Q186,$B$184,1E+099),0)</f>
        <v>0</v>
      </c>
      <c r="R187" s="47" t="n">
        <f aca="false">IF(11&lt;=Inputs!$B$44,MIN(R186,$B$184,1E+099),0)</f>
        <v>0</v>
      </c>
      <c r="S187" s="47" t="n">
        <f aca="false">IF(12&lt;=Inputs!$B$44,MIN(S186,$B$184,1E+099),0)</f>
        <v>0</v>
      </c>
      <c r="T187" s="47" t="n">
        <f aca="false">IF(13&lt;=Inputs!$B$44,MIN(T186,$B$184,1E+099),0)</f>
        <v>0</v>
      </c>
      <c r="U187" s="47" t="n">
        <f aca="false">IF(14&lt;=Inputs!$B$44,MIN(U186,$B$184,1E+099),0)</f>
        <v>0</v>
      </c>
      <c r="V187" s="47" t="n">
        <f aca="false">IF(15&lt;=Inputs!$B$44,MIN(V186,$B$184,1E+099),0)</f>
        <v>0</v>
      </c>
      <c r="W187" s="47" t="n">
        <f aca="false">IF(16&lt;=Inputs!$B$44,MIN(W186,$B$184,1E+099),0)</f>
        <v>0</v>
      </c>
      <c r="X187" s="47" t="n">
        <f aca="false">IF(17&lt;=Inputs!$B$44,MIN(X186,$B$184,1E+099),0)</f>
        <v>0</v>
      </c>
      <c r="Y187" s="47" t="n">
        <f aca="false">IF(18&lt;=Inputs!$B$44,MIN(Y186,$B$184,1E+099),0)</f>
        <v>0</v>
      </c>
      <c r="Z187" s="47" t="n">
        <f aca="false">IF(19&lt;=Inputs!$B$44,MIN(Z186,$B$184,1E+099),0)</f>
        <v>0</v>
      </c>
      <c r="AA187" s="47" t="n">
        <f aca="false">IF(20&lt;=Inputs!$B$44,MIN(AA186,$B$184,1E+099),0)</f>
        <v>0</v>
      </c>
      <c r="AB187" s="47" t="n">
        <f aca="false">IF(21&lt;=Inputs!$B$44,MIN(AB186,$B$184,1E+099),0)</f>
        <v>0</v>
      </c>
      <c r="AC187" s="47" t="n">
        <f aca="false">IF(22&lt;=Inputs!$B$44,MIN(AC186,$B$184,1E+099),0)</f>
        <v>0</v>
      </c>
      <c r="AD187" s="47" t="n">
        <f aca="false">IF(23&lt;=Inputs!$B$44,MIN(AD186,$B$184,1E+099),0)</f>
        <v>0</v>
      </c>
      <c r="AE187" s="47" t="n">
        <f aca="false">IF(24&lt;=Inputs!$B$44,MIN(AE186,$B$184,1E+099),0)</f>
        <v>0</v>
      </c>
      <c r="AF187" s="47" t="n">
        <f aca="false">IF(25&lt;=Inputs!$B$44,MIN(AF186,$B$184,1E+099),0)</f>
        <v>0</v>
      </c>
      <c r="AG187" s="47" t="n">
        <f aca="false">IF(26&lt;=Inputs!$B$44,MIN(AG186,$B$184,1E+099),0)</f>
        <v>0</v>
      </c>
      <c r="AH187" s="47" t="n">
        <f aca="false">IF(27&lt;=Inputs!$B$44,MIN(AH186,$B$184,1E+099),0)</f>
        <v>0</v>
      </c>
      <c r="AI187" s="47" t="n">
        <f aca="false">IF(28&lt;=Inputs!$B$44,MIN(AI186,$B$184,1E+099),0)</f>
        <v>0</v>
      </c>
      <c r="AJ187" s="47" t="n">
        <f aca="false">IF(29&lt;=Inputs!$B$44,MIN(AJ186,$B$184,1E+099),0)</f>
        <v>0</v>
      </c>
      <c r="AK187" s="47" t="n">
        <f aca="false">IF(30&lt;=Inputs!$B$44,MIN(AK186,$B$184,1E+099),0)</f>
        <v>0</v>
      </c>
    </row>
    <row r="188" customFormat="false" ht="15" hidden="false" customHeight="false" outlineLevel="0" collapsed="false">
      <c r="A188" s="10" t="s">
        <v>577</v>
      </c>
      <c r="G188" s="47" t="n">
        <f aca="false">$F$138</f>
        <v>0</v>
      </c>
      <c r="H188" s="47" t="n">
        <f aca="false">G188</f>
        <v>0</v>
      </c>
      <c r="I188" s="47" t="n">
        <f aca="false">H188-H189</f>
        <v>0</v>
      </c>
      <c r="J188" s="47" t="n">
        <f aca="false">I188-I189</f>
        <v>0</v>
      </c>
      <c r="K188" s="47" t="n">
        <f aca="false">J188-J189</f>
        <v>0</v>
      </c>
      <c r="L188" s="47" t="n">
        <f aca="false">K188-K189</f>
        <v>0</v>
      </c>
      <c r="M188" s="47" t="n">
        <f aca="false">L188-L189</f>
        <v>0</v>
      </c>
      <c r="N188" s="47" t="n">
        <f aca="false">M188-M189</f>
        <v>0</v>
      </c>
      <c r="O188" s="47" t="n">
        <f aca="false">N188-N189</f>
        <v>0</v>
      </c>
      <c r="P188" s="47" t="n">
        <f aca="false">O188-O189</f>
        <v>0</v>
      </c>
      <c r="Q188" s="47" t="n">
        <f aca="false">P188-P189</f>
        <v>0</v>
      </c>
      <c r="R188" s="47" t="n">
        <f aca="false">Q188-Q189</f>
        <v>0</v>
      </c>
      <c r="S188" s="47" t="n">
        <f aca="false">R188-R189</f>
        <v>0</v>
      </c>
      <c r="T188" s="47" t="n">
        <f aca="false">S188-S189</f>
        <v>0</v>
      </c>
      <c r="U188" s="47" t="n">
        <f aca="false">T188-T189</f>
        <v>0</v>
      </c>
      <c r="V188" s="47" t="n">
        <f aca="false">U188-U189</f>
        <v>0</v>
      </c>
      <c r="W188" s="47" t="n">
        <f aca="false">V188-V189</f>
        <v>0</v>
      </c>
      <c r="X188" s="47" t="n">
        <f aca="false">W188-W189</f>
        <v>0</v>
      </c>
      <c r="Y188" s="47" t="n">
        <f aca="false">X188-X189</f>
        <v>0</v>
      </c>
      <c r="Z188" s="47" t="n">
        <f aca="false">Y188-Y189</f>
        <v>0</v>
      </c>
      <c r="AA188" s="47" t="n">
        <f aca="false">Z188-Z189</f>
        <v>0</v>
      </c>
      <c r="AB188" s="47" t="n">
        <f aca="false">AA188-AA189</f>
        <v>0</v>
      </c>
      <c r="AC188" s="47" t="n">
        <f aca="false">AB188-AB189</f>
        <v>0</v>
      </c>
      <c r="AD188" s="47" t="n">
        <f aca="false">AC188-AC189</f>
        <v>0</v>
      </c>
      <c r="AE188" s="47" t="n">
        <f aca="false">AD188-AD189</f>
        <v>0</v>
      </c>
      <c r="AF188" s="47" t="n">
        <f aca="false">AE188-AE189</f>
        <v>0</v>
      </c>
      <c r="AG188" s="47" t="n">
        <f aca="false">AF188-AF189</f>
        <v>0</v>
      </c>
      <c r="AH188" s="47" t="n">
        <f aca="false">AG188-AG189</f>
        <v>0</v>
      </c>
      <c r="AI188" s="47" t="n">
        <f aca="false">AH188-AH189</f>
        <v>0</v>
      </c>
      <c r="AJ188" s="47" t="n">
        <f aca="false">AI188-AI189</f>
        <v>0</v>
      </c>
      <c r="AK188" s="47" t="n">
        <f aca="false">AJ188-AJ189</f>
        <v>0</v>
      </c>
    </row>
    <row r="189" customFormat="false" ht="15" hidden="false" customHeight="false" outlineLevel="0" collapsed="false">
      <c r="A189" s="10" t="s">
        <v>576</v>
      </c>
      <c r="H189" s="47" t="n">
        <f aca="false">IF(1&lt;=Inputs!$B$44,MIN(H188,$B$184-H187),0)</f>
        <v>0</v>
      </c>
      <c r="I189" s="47" t="n">
        <f aca="false">IF(2&lt;=Inputs!$B$44,MIN(I188,$B$184-I187),0)</f>
        <v>0</v>
      </c>
      <c r="J189" s="47" t="n">
        <f aca="false">IF(3&lt;=Inputs!$B$44,MIN(J188,$B$184-J187),0)</f>
        <v>0</v>
      </c>
      <c r="K189" s="47" t="n">
        <f aca="false">IF(4&lt;=Inputs!$B$44,MIN(K188,$B$184-K187),0)</f>
        <v>0</v>
      </c>
      <c r="L189" s="47" t="n">
        <f aca="false">IF(5&lt;=Inputs!$B$44,MIN(L188,$B$184-L187),0)</f>
        <v>0</v>
      </c>
      <c r="M189" s="47" t="n">
        <f aca="false">IF(6&lt;=Inputs!$B$44,MIN(M188,$B$184-M187),0)</f>
        <v>0</v>
      </c>
      <c r="N189" s="47" t="n">
        <f aca="false">IF(7&lt;=Inputs!$B$44,MIN(N188,$B$184-N187),0)</f>
        <v>0</v>
      </c>
      <c r="O189" s="47" t="n">
        <f aca="false">IF(8&lt;=Inputs!$B$44,MIN(O188,$B$184-O187),0)</f>
        <v>0</v>
      </c>
      <c r="P189" s="47" t="n">
        <f aca="false">IF(9&lt;=Inputs!$B$44,MIN(P188,$B$184-P187),0)</f>
        <v>0</v>
      </c>
      <c r="Q189" s="47" t="n">
        <f aca="false">IF(10&lt;=Inputs!$B$44,MIN(Q188,$B$184-Q187),0)</f>
        <v>0</v>
      </c>
      <c r="R189" s="47" t="n">
        <f aca="false">IF(11&lt;=Inputs!$B$44,MIN(R188,$B$184-R187),0)</f>
        <v>0</v>
      </c>
      <c r="S189" s="47" t="n">
        <f aca="false">IF(12&lt;=Inputs!$B$44,MIN(S188,$B$184-S187),0)</f>
        <v>0</v>
      </c>
      <c r="T189" s="47" t="n">
        <f aca="false">IF(13&lt;=Inputs!$B$44,MIN(T188,$B$184-T187),0)</f>
        <v>0</v>
      </c>
      <c r="U189" s="47" t="n">
        <f aca="false">IF(14&lt;=Inputs!$B$44,MIN(U188,$B$184-U187),0)</f>
        <v>0</v>
      </c>
      <c r="V189" s="47" t="n">
        <f aca="false">IF(15&lt;=Inputs!$B$44,MIN(V188,$B$184-V187),0)</f>
        <v>0</v>
      </c>
      <c r="W189" s="47" t="n">
        <f aca="false">IF(16&lt;=Inputs!$B$44,MIN(W188,$B$184-W187),0)</f>
        <v>0</v>
      </c>
      <c r="X189" s="47" t="n">
        <f aca="false">IF(17&lt;=Inputs!$B$44,MIN(X188,$B$184-X187),0)</f>
        <v>0</v>
      </c>
      <c r="Y189" s="47" t="n">
        <f aca="false">IF(18&lt;=Inputs!$B$44,MIN(Y188,$B$184-Y187),0)</f>
        <v>0</v>
      </c>
      <c r="Z189" s="47" t="n">
        <f aca="false">IF(19&lt;=Inputs!$B$44,MIN(Z188,$B$184-Z187),0)</f>
        <v>0</v>
      </c>
      <c r="AA189" s="47" t="n">
        <f aca="false">IF(20&lt;=Inputs!$B$44,MIN(AA188,$B$184-AA187),0)</f>
        <v>0</v>
      </c>
      <c r="AB189" s="47" t="n">
        <f aca="false">IF(21&lt;=Inputs!$B$44,MIN(AB188,$B$184-AB187),0)</f>
        <v>0</v>
      </c>
      <c r="AC189" s="47" t="n">
        <f aca="false">IF(22&lt;=Inputs!$B$44,MIN(AC188,$B$184-AC187),0)</f>
        <v>0</v>
      </c>
      <c r="AD189" s="47" t="n">
        <f aca="false">IF(23&lt;=Inputs!$B$44,MIN(AD188,$B$184-AD187),0)</f>
        <v>0</v>
      </c>
      <c r="AE189" s="47" t="n">
        <f aca="false">IF(24&lt;=Inputs!$B$44,MIN(AE188,$B$184-AE187),0)</f>
        <v>0</v>
      </c>
      <c r="AF189" s="47" t="n">
        <f aca="false">IF(25&lt;=Inputs!$B$44,MIN(AF188,$B$184-AF187),0)</f>
        <v>0</v>
      </c>
      <c r="AG189" s="47" t="n">
        <f aca="false">IF(26&lt;=Inputs!$B$44,MIN(AG188,$B$184-AG187),0)</f>
        <v>0</v>
      </c>
      <c r="AH189" s="47" t="n">
        <f aca="false">IF(27&lt;=Inputs!$B$44,MIN(AH188,$B$184-AH187),0)</f>
        <v>0</v>
      </c>
      <c r="AI189" s="47" t="n">
        <f aca="false">IF(28&lt;=Inputs!$B$44,MIN(AI188,$B$184-AI187),0)</f>
        <v>0</v>
      </c>
      <c r="AJ189" s="47" t="n">
        <f aca="false">IF(29&lt;=Inputs!$B$44,MIN(AJ188,$B$184-AJ187),0)</f>
        <v>0</v>
      </c>
      <c r="AK189" s="47" t="n">
        <f aca="false">IF(30&lt;=Inputs!$B$44,MIN(AK188,$B$184-AK187),0)</f>
        <v>0</v>
      </c>
    </row>
    <row r="190" customFormat="false" ht="15" hidden="false" customHeight="false" outlineLevel="0" collapsed="false">
      <c r="A190" s="10" t="s">
        <v>578</v>
      </c>
      <c r="H190" s="47" t="n">
        <f aca="false">($B$184-H187-H189)*Inputs!$B$34</f>
        <v>0.24545306362592</v>
      </c>
      <c r="I190" s="47" t="n">
        <f aca="false">($B$184-I187-I189)*Inputs!$B$34</f>
        <v>0.24545306362592</v>
      </c>
      <c r="J190" s="47" t="n">
        <f aca="false">($B$184-J187-J189)*Inputs!$B$34</f>
        <v>0.24545306362592</v>
      </c>
      <c r="K190" s="47" t="n">
        <f aca="false">($B$184-K187-K189)*Inputs!$B$34</f>
        <v>0.24545306362592</v>
      </c>
      <c r="L190" s="47" t="n">
        <f aca="false">($B$184-L187-L189)*Inputs!$B$34</f>
        <v>0.24545306362592</v>
      </c>
      <c r="M190" s="47" t="n">
        <f aca="false">($B$184-M187-M189)*Inputs!$B$34</f>
        <v>0.24545306362592</v>
      </c>
      <c r="N190" s="47" t="n">
        <f aca="false">($B$184-N187-N189)*Inputs!$B$34</f>
        <v>0.24545306362592</v>
      </c>
      <c r="O190" s="47" t="n">
        <f aca="false">($B$184-O187-O189)*Inputs!$B$34</f>
        <v>0.24545306362592</v>
      </c>
      <c r="P190" s="47" t="n">
        <f aca="false">($B$184-P187-P189)*Inputs!$B$34</f>
        <v>0.24545306362592</v>
      </c>
      <c r="Q190" s="47" t="n">
        <f aca="false">($B$184-Q187-Q189)*Inputs!$B$34</f>
        <v>0.24545306362592</v>
      </c>
      <c r="R190" s="47" t="n">
        <f aca="false">($B$184-R187-R189)*Inputs!$B$34</f>
        <v>0.24545306362592</v>
      </c>
      <c r="S190" s="47" t="n">
        <f aca="false">($B$184-S187-S189)*Inputs!$B$34</f>
        <v>0.24545306362592</v>
      </c>
      <c r="T190" s="47" t="n">
        <f aca="false">($B$184-T187-T189)*Inputs!$B$34</f>
        <v>0.24545306362592</v>
      </c>
      <c r="U190" s="47" t="n">
        <f aca="false">($B$184-U187-U189)*Inputs!$B$34</f>
        <v>0.24545306362592</v>
      </c>
      <c r="V190" s="47" t="n">
        <f aca="false">($B$184-V187-V189)*Inputs!$B$34</f>
        <v>0.24545306362592</v>
      </c>
      <c r="W190" s="47" t="n">
        <f aca="false">($B$184-W187-W189)*Inputs!$B$34</f>
        <v>0.24545306362592</v>
      </c>
      <c r="X190" s="47" t="n">
        <f aca="false">($B$184-X187-X189)*Inputs!$B$34</f>
        <v>0.24545306362592</v>
      </c>
      <c r="Y190" s="47" t="n">
        <f aca="false">($B$184-Y187-Y189)*Inputs!$B$34</f>
        <v>0.24545306362592</v>
      </c>
      <c r="Z190" s="47" t="n">
        <f aca="false">($B$184-Z187-Z189)*Inputs!$B$34</f>
        <v>0.24545306362592</v>
      </c>
      <c r="AA190" s="47" t="n">
        <f aca="false">($B$184-AA187-AA189)*Inputs!$B$34</f>
        <v>0.24545306362592</v>
      </c>
      <c r="AB190" s="47" t="n">
        <f aca="false">($B$184-AB187-AB189)*Inputs!$B$34</f>
        <v>0.24545306362592</v>
      </c>
      <c r="AC190" s="47" t="n">
        <f aca="false">($B$184-AC187-AC189)*Inputs!$B$34</f>
        <v>0.24545306362592</v>
      </c>
      <c r="AD190" s="47" t="n">
        <f aca="false">($B$184-AD187-AD189)*Inputs!$B$34</f>
        <v>0.24545306362592</v>
      </c>
      <c r="AE190" s="47" t="n">
        <f aca="false">($B$184-AE187-AE189)*Inputs!$B$34</f>
        <v>0.24545306362592</v>
      </c>
      <c r="AF190" s="47" t="n">
        <f aca="false">($B$184-AF187-AF189)*Inputs!$B$34</f>
        <v>0.24545306362592</v>
      </c>
      <c r="AG190" s="47" t="n">
        <f aca="false">($B$184-AG187-AG189)*Inputs!$B$34</f>
        <v>0.24545306362592</v>
      </c>
      <c r="AH190" s="47" t="n">
        <f aca="false">($B$184-AH187-AH189)*Inputs!$B$34</f>
        <v>0.24545306362592</v>
      </c>
      <c r="AI190" s="47" t="n">
        <f aca="false">($B$184-AI187-AI189)*Inputs!$B$34</f>
        <v>0.24545306362592</v>
      </c>
      <c r="AJ190" s="47" t="n">
        <f aca="false">($B$184-AJ187-AJ189)*Inputs!$B$34</f>
        <v>0.24545306362592</v>
      </c>
      <c r="AK190" s="47" t="n">
        <f aca="false">($B$184-AK187-AK189)*Inputs!$B$34</f>
        <v>0.24545306362592</v>
      </c>
    </row>
    <row r="191" customFormat="false" ht="15" hidden="false" customHeight="false" outlineLevel="0" collapsed="false">
      <c r="A191" s="10" t="s">
        <v>579</v>
      </c>
      <c r="H191" s="47" t="n">
        <f aca="false">$B$184-H190</f>
        <v>5.89087352702208</v>
      </c>
      <c r="I191" s="47" t="n">
        <f aca="false">$B$184-I190</f>
        <v>5.89087352702208</v>
      </c>
      <c r="J191" s="47" t="n">
        <f aca="false">$B$184-J190</f>
        <v>5.89087352702208</v>
      </c>
      <c r="K191" s="47" t="n">
        <f aca="false">$B$184-K190</f>
        <v>5.89087352702208</v>
      </c>
      <c r="L191" s="47" t="n">
        <f aca="false">$B$184-L190</f>
        <v>5.89087352702208</v>
      </c>
      <c r="M191" s="47" t="n">
        <f aca="false">$B$184-M190</f>
        <v>5.89087352702208</v>
      </c>
      <c r="N191" s="47" t="n">
        <f aca="false">$B$184-N190</f>
        <v>5.89087352702208</v>
      </c>
      <c r="O191" s="47" t="n">
        <f aca="false">$B$184-O190</f>
        <v>5.89087352702208</v>
      </c>
      <c r="P191" s="47" t="n">
        <f aca="false">$B$184-P190</f>
        <v>5.89087352702208</v>
      </c>
      <c r="Q191" s="47" t="n">
        <f aca="false">$B$184-Q190</f>
        <v>5.89087352702208</v>
      </c>
      <c r="R191" s="47" t="n">
        <f aca="false">$B$184-R190</f>
        <v>5.89087352702208</v>
      </c>
      <c r="S191" s="47" t="n">
        <f aca="false">$B$184-S190</f>
        <v>5.89087352702208</v>
      </c>
      <c r="T191" s="47" t="n">
        <f aca="false">$B$184-T190</f>
        <v>5.89087352702208</v>
      </c>
      <c r="U191" s="47" t="n">
        <f aca="false">$B$184-U190</f>
        <v>5.89087352702208</v>
      </c>
      <c r="V191" s="47" t="n">
        <f aca="false">$B$184-V190</f>
        <v>5.89087352702208</v>
      </c>
      <c r="W191" s="47" t="n">
        <f aca="false">$B$184-W190</f>
        <v>5.89087352702208</v>
      </c>
      <c r="X191" s="47" t="n">
        <f aca="false">$B$184-X190</f>
        <v>5.89087352702208</v>
      </c>
      <c r="Y191" s="47" t="n">
        <f aca="false">$B$184-Y190</f>
        <v>5.89087352702208</v>
      </c>
      <c r="Z191" s="47" t="n">
        <f aca="false">$B$184-Z190</f>
        <v>5.89087352702208</v>
      </c>
      <c r="AA191" s="47" t="n">
        <f aca="false">$B$184-AA190</f>
        <v>5.89087352702208</v>
      </c>
      <c r="AB191" s="47" t="n">
        <f aca="false">$B$184-AB190</f>
        <v>5.89087352702208</v>
      </c>
      <c r="AC191" s="47" t="n">
        <f aca="false">$B$184-AC190</f>
        <v>5.89087352702208</v>
      </c>
      <c r="AD191" s="47" t="n">
        <f aca="false">$B$184-AD190</f>
        <v>5.89087352702208</v>
      </c>
      <c r="AE191" s="47" t="n">
        <f aca="false">$B$184-AE190</f>
        <v>5.89087352702208</v>
      </c>
      <c r="AF191" s="47" t="n">
        <f aca="false">$B$184-AF190</f>
        <v>5.89087352702208</v>
      </c>
      <c r="AG191" s="47" t="n">
        <f aca="false">$B$184-AG190</f>
        <v>5.89087352702208</v>
      </c>
      <c r="AH191" s="47" t="n">
        <f aca="false">$B$184-AH190</f>
        <v>5.89087352702208</v>
      </c>
      <c r="AI191" s="47" t="n">
        <f aca="false">$B$184-AI190</f>
        <v>5.89087352702208</v>
      </c>
      <c r="AJ191" s="47" t="n">
        <f aca="false">$B$184-AJ190</f>
        <v>5.89087352702208</v>
      </c>
      <c r="AK191" s="47" t="n">
        <f aca="false">$B$184-AK190</f>
        <v>5.89087352702208</v>
      </c>
    </row>
    <row r="192" customFormat="false" ht="15" hidden="false" customHeight="false" outlineLevel="0" collapsed="false">
      <c r="A192" s="10" t="s">
        <v>580</v>
      </c>
      <c r="G192" s="47" t="n">
        <f aca="false">$F$143</f>
        <v>0</v>
      </c>
      <c r="H192" s="47" t="n">
        <f aca="false">G192</f>
        <v>0</v>
      </c>
      <c r="I192" s="47" t="n">
        <f aca="false">H192-H193</f>
        <v>0</v>
      </c>
      <c r="J192" s="47" t="n">
        <f aca="false">I192-I193</f>
        <v>0</v>
      </c>
      <c r="K192" s="47" t="n">
        <f aca="false">J192-J193</f>
        <v>0</v>
      </c>
      <c r="L192" s="47" t="n">
        <f aca="false">K192-K193</f>
        <v>0</v>
      </c>
      <c r="M192" s="47" t="n">
        <f aca="false">L192-L193</f>
        <v>0</v>
      </c>
      <c r="N192" s="47" t="n">
        <f aca="false">M192-M193</f>
        <v>0</v>
      </c>
      <c r="O192" s="47" t="n">
        <f aca="false">N192-N193</f>
        <v>0</v>
      </c>
      <c r="P192" s="47" t="n">
        <f aca="false">O192-O193</f>
        <v>0</v>
      </c>
      <c r="Q192" s="47" t="n">
        <f aca="false">P192-P193</f>
        <v>0</v>
      </c>
      <c r="R192" s="47" t="n">
        <f aca="false">Q192-Q193</f>
        <v>0</v>
      </c>
      <c r="S192" s="47" t="n">
        <f aca="false">R192-R193</f>
        <v>0</v>
      </c>
      <c r="T192" s="47" t="n">
        <f aca="false">S192-S193</f>
        <v>0</v>
      </c>
      <c r="U192" s="47" t="n">
        <f aca="false">T192-T193</f>
        <v>0</v>
      </c>
      <c r="V192" s="47" t="n">
        <f aca="false">U192-U193</f>
        <v>0</v>
      </c>
      <c r="W192" s="47" t="n">
        <f aca="false">V192-V193</f>
        <v>0</v>
      </c>
      <c r="X192" s="47" t="n">
        <f aca="false">W192-W193</f>
        <v>0</v>
      </c>
      <c r="Y192" s="47" t="n">
        <f aca="false">X192-X193</f>
        <v>0</v>
      </c>
      <c r="Z192" s="47" t="n">
        <f aca="false">Y192-Y193</f>
        <v>0</v>
      </c>
      <c r="AA192" s="47" t="n">
        <f aca="false">Z192-Z193</f>
        <v>0</v>
      </c>
      <c r="AB192" s="47" t="n">
        <f aca="false">AA192-AA193</f>
        <v>0</v>
      </c>
      <c r="AC192" s="47" t="n">
        <f aca="false">AB192-AB193</f>
        <v>0</v>
      </c>
      <c r="AD192" s="47" t="n">
        <f aca="false">AC192-AC193</f>
        <v>0</v>
      </c>
      <c r="AE192" s="47" t="n">
        <f aca="false">AD192-AD193</f>
        <v>0</v>
      </c>
      <c r="AF192" s="47" t="n">
        <f aca="false">AE192-AE193</f>
        <v>0</v>
      </c>
      <c r="AG192" s="47" t="n">
        <f aca="false">AF192-AF193</f>
        <v>0</v>
      </c>
      <c r="AH192" s="47" t="n">
        <f aca="false">AG192-AG193</f>
        <v>0</v>
      </c>
      <c r="AI192" s="47" t="n">
        <f aca="false">AH192-AH193</f>
        <v>0</v>
      </c>
      <c r="AJ192" s="47" t="n">
        <f aca="false">AI192-AI193</f>
        <v>0</v>
      </c>
      <c r="AK192" s="47" t="n">
        <f aca="false">AJ192-AJ193</f>
        <v>0</v>
      </c>
    </row>
    <row r="193" customFormat="false" ht="15" hidden="false" customHeight="false" outlineLevel="0" collapsed="false">
      <c r="A193" s="10" t="s">
        <v>581</v>
      </c>
      <c r="H193" s="47" t="n">
        <f aca="false">MIN(H192,Inputs!$B$35*H191,1E+099)</f>
        <v>0</v>
      </c>
      <c r="I193" s="47" t="n">
        <f aca="false">MIN(I192,Inputs!$B$35*I191,1E+099)</f>
        <v>0</v>
      </c>
      <c r="J193" s="47" t="n">
        <f aca="false">MIN(J192,Inputs!$B$35*J191,1E+099)</f>
        <v>0</v>
      </c>
      <c r="K193" s="47" t="n">
        <f aca="false">MIN(K192,Inputs!$B$35*K191,1E+099)</f>
        <v>0</v>
      </c>
      <c r="L193" s="47" t="n">
        <f aca="false">MIN(L192,Inputs!$B$35*L191,1E+099)</f>
        <v>0</v>
      </c>
      <c r="M193" s="47" t="n">
        <f aca="false">MIN(M192,Inputs!$B$35*M191,1E+099)</f>
        <v>0</v>
      </c>
      <c r="N193" s="47" t="n">
        <f aca="false">MIN(N192,Inputs!$B$35*N191,1E+099)</f>
        <v>0</v>
      </c>
      <c r="O193" s="47" t="n">
        <f aca="false">MIN(O192,Inputs!$B$35*O191,1E+099)</f>
        <v>0</v>
      </c>
      <c r="P193" s="47" t="n">
        <f aca="false">MIN(P192,Inputs!$B$35*P191,1E+099)</f>
        <v>0</v>
      </c>
      <c r="Q193" s="47" t="n">
        <f aca="false">MIN(Q192,Inputs!$B$35*Q191,1E+099)</f>
        <v>0</v>
      </c>
      <c r="R193" s="47" t="n">
        <f aca="false">MIN(R192,Inputs!$B$35*R191,1E+099)</f>
        <v>0</v>
      </c>
      <c r="S193" s="47" t="n">
        <f aca="false">MIN(S192,Inputs!$B$35*S191,1E+099)</f>
        <v>0</v>
      </c>
      <c r="T193" s="47" t="n">
        <f aca="false">MIN(T192,Inputs!$B$35*T191,1E+099)</f>
        <v>0</v>
      </c>
      <c r="U193" s="47" t="n">
        <f aca="false">MIN(U192,Inputs!$B$35*U191,1E+099)</f>
        <v>0</v>
      </c>
      <c r="V193" s="47" t="n">
        <f aca="false">MIN(V192,Inputs!$B$35*V191,1E+099)</f>
        <v>0</v>
      </c>
      <c r="W193" s="47" t="n">
        <f aca="false">MIN(W192,Inputs!$B$35*W191,1E+099)</f>
        <v>0</v>
      </c>
      <c r="X193" s="47" t="n">
        <f aca="false">MIN(X192,Inputs!$B$35*X191,1E+099)</f>
        <v>0</v>
      </c>
      <c r="Y193" s="47" t="n">
        <f aca="false">MIN(Y192,Inputs!$B$35*Y191,1E+099)</f>
        <v>0</v>
      </c>
      <c r="Z193" s="47" t="n">
        <f aca="false">MIN(Z192,Inputs!$B$35*Z191,1E+099)</f>
        <v>0</v>
      </c>
      <c r="AA193" s="47" t="n">
        <f aca="false">MIN(AA192,Inputs!$B$35*AA191,1E+099)</f>
        <v>0</v>
      </c>
      <c r="AB193" s="47" t="n">
        <f aca="false">MIN(AB192,Inputs!$B$35*AB191,1E+099)</f>
        <v>0</v>
      </c>
      <c r="AC193" s="47" t="n">
        <f aca="false">MIN(AC192,Inputs!$B$35*AC191,1E+099)</f>
        <v>0</v>
      </c>
      <c r="AD193" s="47" t="n">
        <f aca="false">MIN(AD192,Inputs!$B$35*AD191,1E+099)</f>
        <v>0</v>
      </c>
      <c r="AE193" s="47" t="n">
        <f aca="false">MIN(AE192,Inputs!$B$35*AE191,1E+099)</f>
        <v>0</v>
      </c>
      <c r="AF193" s="47" t="n">
        <f aca="false">MIN(AF192,Inputs!$B$35*AF191,1E+099)</f>
        <v>0</v>
      </c>
      <c r="AG193" s="47" t="n">
        <f aca="false">MIN(AG192,Inputs!$B$35*AG191,1E+099)</f>
        <v>0</v>
      </c>
      <c r="AH193" s="47" t="n">
        <f aca="false">MIN(AH192,Inputs!$B$35*AH191,1E+099)</f>
        <v>0</v>
      </c>
      <c r="AI193" s="47" t="n">
        <f aca="false">MIN(AI192,Inputs!$B$35*AI191,1E+099)</f>
        <v>0</v>
      </c>
      <c r="AJ193" s="47" t="n">
        <f aca="false">MIN(AJ192,Inputs!$B$35*AJ191,1E+099)</f>
        <v>0</v>
      </c>
      <c r="AK193" s="47" t="n">
        <f aca="false">MIN(AK192,Inputs!$B$35*AK191,1E+099)</f>
        <v>0</v>
      </c>
    </row>
    <row r="194" customFormat="false" ht="15" hidden="false" customHeight="false" outlineLevel="0" collapsed="false">
      <c r="A194" s="10" t="s">
        <v>582</v>
      </c>
      <c r="G194" s="47" t="n">
        <f aca="false">$F$144</f>
        <v>0</v>
      </c>
      <c r="H194" s="47" t="n">
        <f aca="false">G194</f>
        <v>0</v>
      </c>
      <c r="I194" s="47" t="n">
        <f aca="false">H194-H195</f>
        <v>0</v>
      </c>
      <c r="J194" s="47" t="n">
        <f aca="false">I194-I195</f>
        <v>0</v>
      </c>
      <c r="K194" s="47" t="n">
        <f aca="false">J194-J195</f>
        <v>0</v>
      </c>
      <c r="L194" s="47" t="n">
        <f aca="false">K194-K195</f>
        <v>0</v>
      </c>
      <c r="M194" s="47" t="n">
        <f aca="false">L194-L195</f>
        <v>0</v>
      </c>
      <c r="N194" s="47" t="n">
        <f aca="false">M194-M195</f>
        <v>0</v>
      </c>
      <c r="O194" s="47" t="n">
        <f aca="false">N194-N195</f>
        <v>0</v>
      </c>
      <c r="P194" s="47" t="n">
        <f aca="false">O194-O195</f>
        <v>0</v>
      </c>
      <c r="Q194" s="47" t="n">
        <f aca="false">P194-P195</f>
        <v>0</v>
      </c>
      <c r="R194" s="47" t="n">
        <f aca="false">Q194-Q195</f>
        <v>0</v>
      </c>
      <c r="S194" s="47" t="n">
        <f aca="false">R194-R195</f>
        <v>0</v>
      </c>
      <c r="T194" s="47" t="n">
        <f aca="false">S194-S195</f>
        <v>0</v>
      </c>
      <c r="U194" s="47" t="n">
        <f aca="false">T194-T195</f>
        <v>0</v>
      </c>
      <c r="V194" s="47" t="n">
        <f aca="false">U194-U195</f>
        <v>0</v>
      </c>
      <c r="W194" s="47" t="n">
        <f aca="false">V194-V195</f>
        <v>0</v>
      </c>
      <c r="X194" s="47" t="n">
        <f aca="false">W194-W195</f>
        <v>0</v>
      </c>
      <c r="Y194" s="47" t="n">
        <f aca="false">X194-X195</f>
        <v>0</v>
      </c>
      <c r="Z194" s="47" t="n">
        <f aca="false">Y194-Y195</f>
        <v>0</v>
      </c>
      <c r="AA194" s="47" t="n">
        <f aca="false">Z194-Z195</f>
        <v>0</v>
      </c>
      <c r="AB194" s="47" t="n">
        <f aca="false">AA194-AA195</f>
        <v>0</v>
      </c>
      <c r="AC194" s="47" t="n">
        <f aca="false">AB194-AB195</f>
        <v>0</v>
      </c>
      <c r="AD194" s="47" t="n">
        <f aca="false">AC194-AC195</f>
        <v>0</v>
      </c>
      <c r="AE194" s="47" t="n">
        <f aca="false">AD194-AD195</f>
        <v>0</v>
      </c>
      <c r="AF194" s="47" t="n">
        <f aca="false">AE194-AE195</f>
        <v>0</v>
      </c>
      <c r="AG194" s="47" t="n">
        <f aca="false">AF194-AF195</f>
        <v>0</v>
      </c>
      <c r="AH194" s="47" t="n">
        <f aca="false">AG194-AG195</f>
        <v>0</v>
      </c>
      <c r="AI194" s="47" t="n">
        <f aca="false">AH194-AH195</f>
        <v>0</v>
      </c>
      <c r="AJ194" s="47" t="n">
        <f aca="false">AI194-AI195</f>
        <v>0</v>
      </c>
      <c r="AK194" s="47" t="n">
        <f aca="false">AJ194-AJ195</f>
        <v>0</v>
      </c>
    </row>
    <row r="195" customFormat="false" ht="15" hidden="false" customHeight="false" outlineLevel="0" collapsed="false">
      <c r="A195" s="10" t="s">
        <v>576</v>
      </c>
      <c r="H195" s="47" t="n">
        <f aca="false">MIN(H194,Inputs!$B$35*H191-H193)</f>
        <v>0</v>
      </c>
      <c r="I195" s="47" t="n">
        <f aca="false">MIN(I194,Inputs!$B$35*I191-I193)</f>
        <v>0</v>
      </c>
      <c r="J195" s="47" t="n">
        <f aca="false">MIN(J194,Inputs!$B$35*J191-J193)</f>
        <v>0</v>
      </c>
      <c r="K195" s="47" t="n">
        <f aca="false">MIN(K194,Inputs!$B$35*K191-K193)</f>
        <v>0</v>
      </c>
      <c r="L195" s="47" t="n">
        <f aca="false">MIN(L194,Inputs!$B$35*L191-L193)</f>
        <v>0</v>
      </c>
      <c r="M195" s="47" t="n">
        <f aca="false">MIN(M194,Inputs!$B$35*M191-M193)</f>
        <v>0</v>
      </c>
      <c r="N195" s="47" t="n">
        <f aca="false">MIN(N194,Inputs!$B$35*N191-N193)</f>
        <v>0</v>
      </c>
      <c r="O195" s="47" t="n">
        <f aca="false">MIN(O194,Inputs!$B$35*O191-O193)</f>
        <v>0</v>
      </c>
      <c r="P195" s="47" t="n">
        <f aca="false">MIN(P194,Inputs!$B$35*P191-P193)</f>
        <v>0</v>
      </c>
      <c r="Q195" s="47" t="n">
        <f aca="false">MIN(Q194,Inputs!$B$35*Q191-Q193)</f>
        <v>0</v>
      </c>
      <c r="R195" s="47" t="n">
        <f aca="false">MIN(R194,Inputs!$B$35*R191-R193)</f>
        <v>0</v>
      </c>
      <c r="S195" s="47" t="n">
        <f aca="false">MIN(S194,Inputs!$B$35*S191-S193)</f>
        <v>0</v>
      </c>
      <c r="T195" s="47" t="n">
        <f aca="false">MIN(T194,Inputs!$B$35*T191-T193)</f>
        <v>0</v>
      </c>
      <c r="U195" s="47" t="n">
        <f aca="false">MIN(U194,Inputs!$B$35*U191-U193)</f>
        <v>0</v>
      </c>
      <c r="V195" s="47" t="n">
        <f aca="false">MIN(V194,Inputs!$B$35*V191-V193)</f>
        <v>0</v>
      </c>
      <c r="W195" s="47" t="n">
        <f aca="false">MIN(W194,Inputs!$B$35*W191-W193)</f>
        <v>0</v>
      </c>
      <c r="X195" s="47" t="n">
        <f aca="false">MIN(X194,Inputs!$B$35*X191-X193)</f>
        <v>0</v>
      </c>
      <c r="Y195" s="47" t="n">
        <f aca="false">MIN(Y194,Inputs!$B$35*Y191-Y193)</f>
        <v>0</v>
      </c>
      <c r="Z195" s="47" t="n">
        <f aca="false">MIN(Z194,Inputs!$B$35*Z191-Z193)</f>
        <v>0</v>
      </c>
      <c r="AA195" s="47" t="n">
        <f aca="false">MIN(AA194,Inputs!$B$35*AA191-AA193)</f>
        <v>0</v>
      </c>
      <c r="AB195" s="47" t="n">
        <f aca="false">MIN(AB194,Inputs!$B$35*AB191-AB193)</f>
        <v>0</v>
      </c>
      <c r="AC195" s="47" t="n">
        <f aca="false">MIN(AC194,Inputs!$B$35*AC191-AC193)</f>
        <v>0</v>
      </c>
      <c r="AD195" s="47" t="n">
        <f aca="false">MIN(AD194,Inputs!$B$35*AD191-AD193)</f>
        <v>0</v>
      </c>
      <c r="AE195" s="47" t="n">
        <f aca="false">MIN(AE194,Inputs!$B$35*AE191-AE193)</f>
        <v>0</v>
      </c>
      <c r="AF195" s="47" t="n">
        <f aca="false">MIN(AF194,Inputs!$B$35*AF191-AF193)</f>
        <v>0</v>
      </c>
      <c r="AG195" s="47" t="n">
        <f aca="false">MIN(AG194,Inputs!$B$35*AG191-AG193)</f>
        <v>0</v>
      </c>
      <c r="AH195" s="47" t="n">
        <f aca="false">MIN(AH194,Inputs!$B$35*AH191-AH193)</f>
        <v>0</v>
      </c>
      <c r="AI195" s="47" t="n">
        <f aca="false">MIN(AI194,Inputs!$B$35*AI191-AI193)</f>
        <v>0</v>
      </c>
      <c r="AJ195" s="47" t="n">
        <f aca="false">MIN(AJ194,Inputs!$B$35*AJ191-AJ193)</f>
        <v>0</v>
      </c>
      <c r="AK195" s="47" t="n">
        <f aca="false">MIN(AK194,Inputs!$B$35*AK191-AK193)</f>
        <v>0</v>
      </c>
    </row>
    <row r="196" customFormat="false" ht="15" hidden="false" customHeight="false" outlineLevel="0" collapsed="false">
      <c r="A196" s="10" t="s">
        <v>583</v>
      </c>
      <c r="H196" s="47" t="n">
        <f aca="false">(H191-H193-H195)*Inputs!$B$33</f>
        <v>1.23708344067464</v>
      </c>
      <c r="I196" s="47" t="n">
        <f aca="false">(I191-I193-I195)*Inputs!$B$33</f>
        <v>1.23708344067464</v>
      </c>
      <c r="J196" s="47" t="n">
        <f aca="false">(J191-J193-J195)*Inputs!$B$33</f>
        <v>1.23708344067464</v>
      </c>
      <c r="K196" s="47" t="n">
        <f aca="false">(K191-K193-K195)*Inputs!$B$33</f>
        <v>1.23708344067464</v>
      </c>
      <c r="L196" s="47" t="n">
        <f aca="false">(L191-L193-L195)*Inputs!$B$33</f>
        <v>1.23708344067464</v>
      </c>
      <c r="M196" s="47" t="n">
        <f aca="false">(M191-M193-M195)*Inputs!$B$33</f>
        <v>1.23708344067464</v>
      </c>
      <c r="N196" s="47" t="n">
        <f aca="false">(N191-N193-N195)*Inputs!$B$33</f>
        <v>1.23708344067464</v>
      </c>
      <c r="O196" s="47" t="n">
        <f aca="false">(O191-O193-O195)*Inputs!$B$33</f>
        <v>1.23708344067464</v>
      </c>
      <c r="P196" s="47" t="n">
        <f aca="false">(P191-P193-P195)*Inputs!$B$33</f>
        <v>1.23708344067464</v>
      </c>
      <c r="Q196" s="47" t="n">
        <f aca="false">(Q191-Q193-Q195)*Inputs!$B$33</f>
        <v>1.23708344067464</v>
      </c>
      <c r="R196" s="47" t="n">
        <f aca="false">(R191-R193-R195)*Inputs!$B$33</f>
        <v>1.23708344067464</v>
      </c>
      <c r="S196" s="47" t="n">
        <f aca="false">(S191-S193-S195)*Inputs!$B$33</f>
        <v>1.23708344067464</v>
      </c>
      <c r="T196" s="47" t="n">
        <f aca="false">(T191-T193-T195)*Inputs!$B$33</f>
        <v>1.23708344067464</v>
      </c>
      <c r="U196" s="47" t="n">
        <f aca="false">(U191-U193-U195)*Inputs!$B$33</f>
        <v>1.23708344067464</v>
      </c>
      <c r="V196" s="47" t="n">
        <f aca="false">(V191-V193-V195)*Inputs!$B$33</f>
        <v>1.23708344067464</v>
      </c>
      <c r="W196" s="47" t="n">
        <f aca="false">(W191-W193-W195)*Inputs!$B$33</f>
        <v>1.23708344067464</v>
      </c>
      <c r="X196" s="47" t="n">
        <f aca="false">(X191-X193-X195)*Inputs!$B$33</f>
        <v>1.23708344067464</v>
      </c>
      <c r="Y196" s="47" t="n">
        <f aca="false">(Y191-Y193-Y195)*Inputs!$B$33</f>
        <v>1.23708344067464</v>
      </c>
      <c r="Z196" s="47" t="n">
        <f aca="false">(Z191-Z193-Z195)*Inputs!$B$33</f>
        <v>1.23708344067464</v>
      </c>
      <c r="AA196" s="47" t="n">
        <f aca="false">(AA191-AA193-AA195)*Inputs!$B$33</f>
        <v>1.23708344067464</v>
      </c>
      <c r="AB196" s="47" t="n">
        <f aca="false">(AB191-AB193-AB195)*Inputs!$B$33</f>
        <v>1.23708344067464</v>
      </c>
      <c r="AC196" s="47" t="n">
        <f aca="false">(AC191-AC193-AC195)*Inputs!$B$33</f>
        <v>1.23708344067464</v>
      </c>
      <c r="AD196" s="47" t="n">
        <f aca="false">(AD191-AD193-AD195)*Inputs!$B$33</f>
        <v>1.23708344067464</v>
      </c>
      <c r="AE196" s="47" t="n">
        <f aca="false">(AE191-AE193-AE195)*Inputs!$B$33</f>
        <v>1.23708344067464</v>
      </c>
      <c r="AF196" s="47" t="n">
        <f aca="false">(AF191-AF193-AF195)*Inputs!$B$33</f>
        <v>1.23708344067464</v>
      </c>
      <c r="AG196" s="47" t="n">
        <f aca="false">(AG191-AG193-AG195)*Inputs!$B$33</f>
        <v>1.23708344067464</v>
      </c>
      <c r="AH196" s="47" t="n">
        <f aca="false">(AH191-AH193-AH195)*Inputs!$B$33</f>
        <v>1.23708344067464</v>
      </c>
      <c r="AI196" s="47" t="n">
        <f aca="false">(AI191-AI193-AI195)*Inputs!$B$33</f>
        <v>1.23708344067464</v>
      </c>
      <c r="AJ196" s="47" t="n">
        <f aca="false">(AJ191-AJ193-AJ195)*Inputs!$B$33</f>
        <v>1.23708344067464</v>
      </c>
      <c r="AK196" s="47" t="n">
        <f aca="false">(AK191-AK193-AK195)*Inputs!$B$33</f>
        <v>1.23708344067464</v>
      </c>
    </row>
    <row r="197" customFormat="false" ht="15" hidden="false" customHeight="false" outlineLevel="0" collapsed="false">
      <c r="A197" s="10" t="s">
        <v>584</v>
      </c>
      <c r="G197" s="47" t="n">
        <f aca="false">$F$147</f>
        <v>0</v>
      </c>
      <c r="H197" s="47" t="n">
        <f aca="false">G197</f>
        <v>0</v>
      </c>
      <c r="I197" s="47" t="n">
        <f aca="false">H197-H198</f>
        <v>0</v>
      </c>
      <c r="J197" s="47" t="n">
        <f aca="false">I197-I198</f>
        <v>0</v>
      </c>
      <c r="K197" s="47" t="n">
        <f aca="false">J197-J198</f>
        <v>0</v>
      </c>
      <c r="L197" s="47" t="n">
        <f aca="false">K197-K198</f>
        <v>0</v>
      </c>
      <c r="M197" s="47" t="n">
        <f aca="false">L197-L198</f>
        <v>0</v>
      </c>
      <c r="N197" s="47" t="n">
        <f aca="false">M197-M198</f>
        <v>0</v>
      </c>
      <c r="O197" s="47" t="n">
        <f aca="false">N197-N198</f>
        <v>0</v>
      </c>
      <c r="P197" s="47" t="n">
        <f aca="false">O197-O198</f>
        <v>0</v>
      </c>
      <c r="Q197" s="47" t="n">
        <f aca="false">P197-P198</f>
        <v>0</v>
      </c>
      <c r="R197" s="47" t="n">
        <f aca="false">Q197-Q198</f>
        <v>0</v>
      </c>
      <c r="S197" s="47" t="n">
        <f aca="false">R197-R198</f>
        <v>0</v>
      </c>
      <c r="T197" s="47" t="n">
        <f aca="false">S197-S198</f>
        <v>0</v>
      </c>
      <c r="U197" s="47" t="n">
        <f aca="false">T197-T198</f>
        <v>0</v>
      </c>
      <c r="V197" s="47" t="n">
        <f aca="false">U197-U198</f>
        <v>0</v>
      </c>
      <c r="W197" s="47" t="n">
        <f aca="false">V197-V198</f>
        <v>0</v>
      </c>
      <c r="X197" s="47" t="n">
        <f aca="false">W197-W198</f>
        <v>0</v>
      </c>
      <c r="Y197" s="47" t="n">
        <f aca="false">X197-X198</f>
        <v>0</v>
      </c>
      <c r="Z197" s="47" t="n">
        <f aca="false">Y197-Y198</f>
        <v>0</v>
      </c>
      <c r="AA197" s="47" t="n">
        <f aca="false">Z197-Z198</f>
        <v>0</v>
      </c>
      <c r="AB197" s="47" t="n">
        <f aca="false">AA197-AA198</f>
        <v>0</v>
      </c>
      <c r="AC197" s="47" t="n">
        <f aca="false">AB197-AB198</f>
        <v>0</v>
      </c>
      <c r="AD197" s="47" t="n">
        <f aca="false">AC197-AC198</f>
        <v>0</v>
      </c>
      <c r="AE197" s="47" t="n">
        <f aca="false">AD197-AD198</f>
        <v>0</v>
      </c>
      <c r="AF197" s="47" t="n">
        <f aca="false">AE197-AE198</f>
        <v>0</v>
      </c>
      <c r="AG197" s="47" t="n">
        <f aca="false">AF197-AF198</f>
        <v>0</v>
      </c>
      <c r="AH197" s="47" t="n">
        <f aca="false">AG197-AG198</f>
        <v>0</v>
      </c>
      <c r="AI197" s="47" t="n">
        <f aca="false">AH197-AH198</f>
        <v>0</v>
      </c>
      <c r="AJ197" s="47" t="n">
        <f aca="false">AI197-AI198</f>
        <v>0</v>
      </c>
      <c r="AK197" s="47" t="n">
        <f aca="false">AJ197-AJ198</f>
        <v>0</v>
      </c>
    </row>
    <row r="198" customFormat="false" ht="15" hidden="false" customHeight="false" outlineLevel="0" collapsed="false">
      <c r="A198" s="10" t="s">
        <v>585</v>
      </c>
      <c r="H198" s="47" t="n">
        <f aca="false">IF(1&lt;=Inputs!$B$43,MIN(H197,H196,MAX(0,1E+099-H193)*Inputs!$B$33),0)</f>
        <v>0</v>
      </c>
      <c r="I198" s="47" t="n">
        <f aca="false">IF(2&lt;=Inputs!$B$43,MIN(I197,I196,MAX(0,1E+099-I193)*Inputs!$B$33),0)</f>
        <v>0</v>
      </c>
      <c r="J198" s="47" t="n">
        <f aca="false">IF(3&lt;=Inputs!$B$43,MIN(J197,J196,MAX(0,1E+099-J193)*Inputs!$B$33),0)</f>
        <v>0</v>
      </c>
      <c r="K198" s="47" t="n">
        <f aca="false">IF(4&lt;=Inputs!$B$43,MIN(K197,K196,MAX(0,1E+099-K193)*Inputs!$B$33),0)</f>
        <v>0</v>
      </c>
      <c r="L198" s="47" t="n">
        <f aca="false">IF(5&lt;=Inputs!$B$43,MIN(L197,L196,MAX(0,1E+099-L193)*Inputs!$B$33),0)</f>
        <v>0</v>
      </c>
      <c r="M198" s="47" t="n">
        <f aca="false">IF(6&lt;=Inputs!$B$43,MIN(M197,M196,MAX(0,1E+099-M193)*Inputs!$B$33),0)</f>
        <v>0</v>
      </c>
      <c r="N198" s="47" t="n">
        <f aca="false">IF(7&lt;=Inputs!$B$43,MIN(N197,N196,MAX(0,1E+099-N193)*Inputs!$B$33),0)</f>
        <v>0</v>
      </c>
      <c r="O198" s="47" t="n">
        <f aca="false">IF(8&lt;=Inputs!$B$43,MIN(O197,O196,MAX(0,1E+099-O193)*Inputs!$B$33),0)</f>
        <v>0</v>
      </c>
      <c r="P198" s="47" t="n">
        <f aca="false">IF(9&lt;=Inputs!$B$43,MIN(P197,P196,MAX(0,1E+099-P193)*Inputs!$B$33),0)</f>
        <v>0</v>
      </c>
      <c r="Q198" s="47" t="n">
        <f aca="false">IF(10&lt;=Inputs!$B$43,MIN(Q197,Q196,MAX(0,1E+099-Q193)*Inputs!$B$33),0)</f>
        <v>0</v>
      </c>
      <c r="R198" s="47" t="n">
        <f aca="false">IF(11&lt;=Inputs!$B$43,MIN(R197,R196,MAX(0,1E+099-R193)*Inputs!$B$33),0)</f>
        <v>0</v>
      </c>
      <c r="S198" s="47" t="n">
        <f aca="false">IF(12&lt;=Inputs!$B$43,MIN(S197,S196,MAX(0,1E+099-S193)*Inputs!$B$33),0)</f>
        <v>0</v>
      </c>
      <c r="T198" s="47" t="n">
        <f aca="false">IF(13&lt;=Inputs!$B$43,MIN(T197,T196,MAX(0,1E+099-T193)*Inputs!$B$33),0)</f>
        <v>0</v>
      </c>
      <c r="U198" s="47" t="n">
        <f aca="false">IF(14&lt;=Inputs!$B$43,MIN(U197,U196,MAX(0,1E+099-U193)*Inputs!$B$33),0)</f>
        <v>0</v>
      </c>
      <c r="V198" s="47" t="n">
        <f aca="false">IF(15&lt;=Inputs!$B$43,MIN(V197,V196,MAX(0,1E+099-V193)*Inputs!$B$33),0)</f>
        <v>0</v>
      </c>
      <c r="W198" s="47" t="n">
        <f aca="false">IF(16&lt;=Inputs!$B$43,MIN(W197,W196,MAX(0,1E+099-W193)*Inputs!$B$33),0)</f>
        <v>0</v>
      </c>
      <c r="X198" s="47" t="n">
        <f aca="false">IF(17&lt;=Inputs!$B$43,MIN(X197,X196,MAX(0,1E+099-X193)*Inputs!$B$33),0)</f>
        <v>0</v>
      </c>
      <c r="Y198" s="47" t="n">
        <f aca="false">IF(18&lt;=Inputs!$B$43,MIN(Y197,Y196,MAX(0,1E+099-Y193)*Inputs!$B$33),0)</f>
        <v>0</v>
      </c>
      <c r="Z198" s="47" t="n">
        <f aca="false">IF(19&lt;=Inputs!$B$43,MIN(Z197,Z196,MAX(0,1E+099-Z193)*Inputs!$B$33),0)</f>
        <v>0</v>
      </c>
      <c r="AA198" s="47" t="n">
        <f aca="false">IF(20&lt;=Inputs!$B$43,MIN(AA197,AA196,MAX(0,1E+099-AA193)*Inputs!$B$33),0)</f>
        <v>0</v>
      </c>
      <c r="AB198" s="47" t="n">
        <f aca="false">IF(21&lt;=Inputs!$B$43,MIN(AB197,AB196,MAX(0,1E+099-AB193)*Inputs!$B$33),0)</f>
        <v>0</v>
      </c>
      <c r="AC198" s="47" t="n">
        <f aca="false">IF(22&lt;=Inputs!$B$43,MIN(AC197,AC196,MAX(0,1E+099-AC193)*Inputs!$B$33),0)</f>
        <v>0</v>
      </c>
      <c r="AD198" s="47" t="n">
        <f aca="false">IF(23&lt;=Inputs!$B$43,MIN(AD197,AD196,MAX(0,1E+099-AD193)*Inputs!$B$33),0)</f>
        <v>0</v>
      </c>
      <c r="AE198" s="47" t="n">
        <f aca="false">IF(24&lt;=Inputs!$B$43,MIN(AE197,AE196,MAX(0,1E+099-AE193)*Inputs!$B$33),0)</f>
        <v>0</v>
      </c>
      <c r="AF198" s="47" t="n">
        <f aca="false">IF(25&lt;=Inputs!$B$43,MIN(AF197,AF196,MAX(0,1E+099-AF193)*Inputs!$B$33),0)</f>
        <v>0</v>
      </c>
      <c r="AG198" s="47" t="n">
        <f aca="false">IF(26&lt;=Inputs!$B$43,MIN(AG197,AG196,MAX(0,1E+099-AG193)*Inputs!$B$33),0)</f>
        <v>0</v>
      </c>
      <c r="AH198" s="47" t="n">
        <f aca="false">IF(27&lt;=Inputs!$B$43,MIN(AH197,AH196,MAX(0,1E+099-AH193)*Inputs!$B$33),0)</f>
        <v>0</v>
      </c>
      <c r="AI198" s="47" t="n">
        <f aca="false">IF(28&lt;=Inputs!$B$43,MIN(AI197,AI196,MAX(0,1E+099-AI193)*Inputs!$B$33),0)</f>
        <v>0</v>
      </c>
      <c r="AJ198" s="47" t="n">
        <f aca="false">IF(29&lt;=Inputs!$B$43,MIN(AJ197,AJ196,MAX(0,1E+099-AJ193)*Inputs!$B$33),0)</f>
        <v>0</v>
      </c>
      <c r="AK198" s="47" t="n">
        <f aca="false">IF(30&lt;=Inputs!$B$43,MIN(AK197,AK196,MAX(0,1E+099-AK193)*Inputs!$B$33),0)</f>
        <v>0</v>
      </c>
    </row>
    <row r="199" customFormat="false" ht="15" hidden="false" customHeight="false" outlineLevel="0" collapsed="false">
      <c r="A199" s="10" t="s">
        <v>586</v>
      </c>
      <c r="H199" s="47" t="n">
        <f aca="false">($B$184*Inputs!$B$34+($B$184-$B$184*Inputs!$B$34)*Inputs!$B$33)-(H190+H196-H198)</f>
        <v>0</v>
      </c>
      <c r="I199" s="47" t="n">
        <f aca="false">($B$184*Inputs!$B$34+($B$184-$B$184*Inputs!$B$34)*Inputs!$B$33)-(I190+I196-I198)</f>
        <v>0</v>
      </c>
      <c r="J199" s="47" t="n">
        <f aca="false">($B$184*Inputs!$B$34+($B$184-$B$184*Inputs!$B$34)*Inputs!$B$33)-(J190+J196-J198)</f>
        <v>0</v>
      </c>
      <c r="K199" s="47" t="n">
        <f aca="false">($B$184*Inputs!$B$34+($B$184-$B$184*Inputs!$B$34)*Inputs!$B$33)-(K190+K196-K198)</f>
        <v>0</v>
      </c>
      <c r="L199" s="47" t="n">
        <f aca="false">($B$184*Inputs!$B$34+($B$184-$B$184*Inputs!$B$34)*Inputs!$B$33)-(L190+L196-L198)</f>
        <v>0</v>
      </c>
      <c r="M199" s="47" t="n">
        <f aca="false">($B$184*Inputs!$B$34+($B$184-$B$184*Inputs!$B$34)*Inputs!$B$33)-(M190+M196-M198)</f>
        <v>0</v>
      </c>
      <c r="N199" s="47" t="n">
        <f aca="false">($B$184*Inputs!$B$34+($B$184-$B$184*Inputs!$B$34)*Inputs!$B$33)-(N190+N196-N198)</f>
        <v>0</v>
      </c>
      <c r="O199" s="47" t="n">
        <f aca="false">($B$184*Inputs!$B$34+($B$184-$B$184*Inputs!$B$34)*Inputs!$B$33)-(O190+O196-O198)</f>
        <v>0</v>
      </c>
      <c r="P199" s="47" t="n">
        <f aca="false">($B$184*Inputs!$B$34+($B$184-$B$184*Inputs!$B$34)*Inputs!$B$33)-(P190+P196-P198)</f>
        <v>0</v>
      </c>
      <c r="Q199" s="47" t="n">
        <f aca="false">($B$184*Inputs!$B$34+($B$184-$B$184*Inputs!$B$34)*Inputs!$B$33)-(Q190+Q196-Q198)</f>
        <v>0</v>
      </c>
      <c r="R199" s="47" t="n">
        <f aca="false">($B$184*Inputs!$B$34+($B$184-$B$184*Inputs!$B$34)*Inputs!$B$33)-(R190+R196-R198)</f>
        <v>0</v>
      </c>
      <c r="S199" s="47" t="n">
        <f aca="false">($B$184*Inputs!$B$34+($B$184-$B$184*Inputs!$B$34)*Inputs!$B$33)-(S190+S196-S198)</f>
        <v>0</v>
      </c>
      <c r="T199" s="47" t="n">
        <f aca="false">($B$184*Inputs!$B$34+($B$184-$B$184*Inputs!$B$34)*Inputs!$B$33)-(T190+T196-T198)</f>
        <v>0</v>
      </c>
      <c r="U199" s="47" t="n">
        <f aca="false">($B$184*Inputs!$B$34+($B$184-$B$184*Inputs!$B$34)*Inputs!$B$33)-(U190+U196-U198)</f>
        <v>0</v>
      </c>
      <c r="V199" s="47" t="n">
        <f aca="false">($B$184*Inputs!$B$34+($B$184-$B$184*Inputs!$B$34)*Inputs!$B$33)-(V190+V196-V198)</f>
        <v>0</v>
      </c>
      <c r="W199" s="47" t="n">
        <f aca="false">($B$184*Inputs!$B$34+($B$184-$B$184*Inputs!$B$34)*Inputs!$B$33)-(W190+W196-W198)</f>
        <v>0</v>
      </c>
      <c r="X199" s="47" t="n">
        <f aca="false">($B$184*Inputs!$B$34+($B$184-$B$184*Inputs!$B$34)*Inputs!$B$33)-(X190+X196-X198)</f>
        <v>0</v>
      </c>
      <c r="Y199" s="47" t="n">
        <f aca="false">($B$184*Inputs!$B$34+($B$184-$B$184*Inputs!$B$34)*Inputs!$B$33)-(Y190+Y196-Y198)</f>
        <v>0</v>
      </c>
      <c r="Z199" s="47" t="n">
        <f aca="false">($B$184*Inputs!$B$34+($B$184-$B$184*Inputs!$B$34)*Inputs!$B$33)-(Z190+Z196-Z198)</f>
        <v>0</v>
      </c>
      <c r="AA199" s="47" t="n">
        <f aca="false">($B$184*Inputs!$B$34+($B$184-$B$184*Inputs!$B$34)*Inputs!$B$33)-(AA190+AA196-AA198)</f>
        <v>0</v>
      </c>
      <c r="AB199" s="47" t="n">
        <f aca="false">($B$184*Inputs!$B$34+($B$184-$B$184*Inputs!$B$34)*Inputs!$B$33)-(AB190+AB196-AB198)</f>
        <v>0</v>
      </c>
      <c r="AC199" s="47" t="n">
        <f aca="false">($B$184*Inputs!$B$34+($B$184-$B$184*Inputs!$B$34)*Inputs!$B$33)-(AC190+AC196-AC198)</f>
        <v>0</v>
      </c>
      <c r="AD199" s="47" t="n">
        <f aca="false">($B$184*Inputs!$B$34+($B$184-$B$184*Inputs!$B$34)*Inputs!$B$33)-(AD190+AD196-AD198)</f>
        <v>0</v>
      </c>
      <c r="AE199" s="47" t="n">
        <f aca="false">($B$184*Inputs!$B$34+($B$184-$B$184*Inputs!$B$34)*Inputs!$B$33)-(AE190+AE196-AE198)</f>
        <v>0</v>
      </c>
      <c r="AF199" s="47" t="n">
        <f aca="false">($B$184*Inputs!$B$34+($B$184-$B$184*Inputs!$B$34)*Inputs!$B$33)-(AF190+AF196-AF198)</f>
        <v>0</v>
      </c>
      <c r="AG199" s="47" t="n">
        <f aca="false">($B$184*Inputs!$B$34+($B$184-$B$184*Inputs!$B$34)*Inputs!$B$33)-(AG190+AG196-AG198)</f>
        <v>0</v>
      </c>
      <c r="AH199" s="47" t="n">
        <f aca="false">($B$184*Inputs!$B$34+($B$184-$B$184*Inputs!$B$34)*Inputs!$B$33)-(AH190+AH196-AH198)</f>
        <v>0</v>
      </c>
      <c r="AI199" s="47" t="n">
        <f aca="false">($B$184*Inputs!$B$34+($B$184-$B$184*Inputs!$B$34)*Inputs!$B$33)-(AI190+AI196-AI198)</f>
        <v>0</v>
      </c>
      <c r="AJ199" s="47" t="n">
        <f aca="false">($B$184*Inputs!$B$34+($B$184-$B$184*Inputs!$B$34)*Inputs!$B$33)-(AJ190+AJ196-AJ198)</f>
        <v>0</v>
      </c>
      <c r="AK199" s="47" t="n">
        <f aca="false">($B$184*Inputs!$B$34+($B$184-$B$184*Inputs!$B$34)*Inputs!$B$33)-(AK190+AK196-AK198)</f>
        <v>0</v>
      </c>
    </row>
    <row r="200" customFormat="false" ht="15" hidden="false" customHeight="false" outlineLevel="0" collapsed="false">
      <c r="A200" s="10" t="s">
        <v>587</v>
      </c>
      <c r="B200" s="47" t="n">
        <f aca="false">SUMPRODUCT($H$199:$AK$199,$H$185:$AK$185)</f>
        <v>0</v>
      </c>
    </row>
    <row r="201" customFormat="false" ht="15" hidden="false" customHeight="false" outlineLevel="0" collapsed="false">
      <c r="A201" s="10" t="s">
        <v>588</v>
      </c>
      <c r="B201" s="47" t="n">
        <f aca="false">Inputs!$B$42*$B$200*$F$527</f>
        <v>0</v>
      </c>
    </row>
    <row r="202" customFormat="false" ht="15" hidden="false" customHeight="false" outlineLevel="0" collapsed="false">
      <c r="A202" s="10" t="s">
        <v>589</v>
      </c>
      <c r="B202" s="47" t="n">
        <f aca="false">$B$168</f>
        <v>32.3747788944724</v>
      </c>
    </row>
    <row r="203" customFormat="false" ht="15" hidden="false" customHeight="false" outlineLevel="0" collapsed="false">
      <c r="A203" s="10" t="s">
        <v>590</v>
      </c>
      <c r="B203" s="47" t="n">
        <f aca="false">Inputs!$B$18*IF(ISNUMBER($B$110),$B$110,Inputs!$B$12)</f>
        <v>0.107732913640393</v>
      </c>
    </row>
    <row r="204" customFormat="false" ht="15" hidden="false" customHeight="false" outlineLevel="0" collapsed="false">
      <c r="A204" s="10" t="s">
        <v>591</v>
      </c>
      <c r="B204" s="47" t="n">
        <f aca="false">SUMPRODUCT($C$163:$F$163,$C$527:$F$527)</f>
        <v>0</v>
      </c>
    </row>
    <row r="205" customFormat="false" ht="15" hidden="false" customHeight="false" outlineLevel="0" collapsed="false">
      <c r="A205" s="13" t="s">
        <v>592</v>
      </c>
      <c r="B205" s="18" t="n">
        <f aca="false">$B$183+$B$201+$B$202+$B$203-$B$204</f>
        <v>88.4856596846549</v>
      </c>
    </row>
    <row r="206" customFormat="false" ht="15" hidden="false" customHeight="false" outlineLevel="0" collapsed="false">
      <c r="A206" s="10" t="s">
        <v>593</v>
      </c>
      <c r="B206" s="25" t="n">
        <f aca="false">Historicals!$B$89+Inputs!$B$17</f>
        <v>3.967329173</v>
      </c>
    </row>
    <row r="207" customFormat="false" ht="15" hidden="false" customHeight="false" outlineLevel="0" collapsed="false">
      <c r="A207" s="10" t="s">
        <v>594</v>
      </c>
      <c r="B207" s="32" t="n">
        <f aca="false">IFERROR(($B$205-$B$162*(1-Inputs!$B$70))/$B$206,0)</f>
        <v>22.3035840552006</v>
      </c>
    </row>
    <row r="208" customFormat="false" ht="15" hidden="false" customHeight="false" outlineLevel="0" collapsed="false">
      <c r="A208" s="10" t="s">
        <v>595</v>
      </c>
      <c r="B208" s="25" t="n">
        <f aca="false">IF($B$207&gt;0,$B$162/($B$207*(1-Inputs!$B$71)),0)</f>
        <v>0</v>
      </c>
    </row>
    <row r="209" customFormat="false" ht="15" hidden="false" customHeight="false" outlineLevel="0" collapsed="false">
      <c r="A209" s="10" t="s">
        <v>596</v>
      </c>
      <c r="B209" s="32" t="n">
        <f aca="false">IFERROR($B$205/($B$206+$B$208),0)</f>
        <v>22.3035840552006</v>
      </c>
    </row>
    <row r="210" customFormat="false" ht="15" hidden="false" customHeight="false" outlineLevel="0" collapsed="false">
      <c r="A210" s="10" t="s">
        <v>597</v>
      </c>
      <c r="B210" s="47" t="n">
        <f aca="false">SUMPRODUCT($C$162:$F$162,$C$527:$F$527)</f>
        <v>0</v>
      </c>
    </row>
    <row r="211" customFormat="false" ht="15" hidden="false" customHeight="false" outlineLevel="0" collapsed="false">
      <c r="A211" s="10" t="s">
        <v>598</v>
      </c>
      <c r="B211" s="25" t="n">
        <f aca="false">IF($B$209&gt;0,$B$208+$B$210/($B$209*(1-Inputs!$B$71)),0)</f>
        <v>0</v>
      </c>
    </row>
    <row r="212" customFormat="false" ht="15" hidden="false" customHeight="false" outlineLevel="0" collapsed="false">
      <c r="A212" s="13" t="s">
        <v>599</v>
      </c>
      <c r="B212" s="15" t="n">
        <f aca="false">IFERROR(($B$205+$B$210)/($B$206+$B$211),0)</f>
        <v>22.3035840552006</v>
      </c>
    </row>
    <row r="213" customFormat="false" ht="15" hidden="false" customHeight="false" outlineLevel="0" collapsed="false">
      <c r="A213" s="10" t="s">
        <v>600</v>
      </c>
      <c r="B213" s="49" t="str">
        <f aca="false">IF($F$170&gt;Inputs!$B$73,"Not meaningful: funding need above limit",IF(OR($B$174&lt;=0,$B$179&lt;=0),"Not meaningful: 2030 profit or cash flow negative",IF(OR($B$178&lt;=0,$B$182&lt;=0),"Not meaningful: a method gives zero or negative value",IF($B$205&lt;=0,"Not meaningful: value at or below zero","OK"))))</f>
        <v>OK</v>
      </c>
    </row>
    <row r="214" customFormat="false" ht="15" hidden="false" customHeight="false" outlineLevel="0" collapsed="false">
      <c r="A214" s="13" t="s">
        <v>601</v>
      </c>
      <c r="B214" s="15" t="n">
        <f aca="false">IF($B$213="OK",$B$212,"unresolved")</f>
        <v>22.3035840552006</v>
      </c>
    </row>
    <row r="215" customFormat="false" ht="15" hidden="false" customHeight="false" outlineLevel="0" collapsed="false">
      <c r="A215" s="10" t="s">
        <v>602</v>
      </c>
      <c r="B215" s="47" t="n">
        <f aca="false">IF(ISNUMBER($B$214),$B$214*$B$206,"unresolved")</f>
        <v>88.4856596846549</v>
      </c>
    </row>
    <row r="216" customFormat="false" ht="15" hidden="false" customHeight="false" outlineLevel="0" collapsed="false">
      <c r="A216" s="10" t="s">
        <v>603</v>
      </c>
      <c r="B216" s="47" t="n">
        <f aca="false">IFERROR($B$205-$B$162*(1-Inputs!$B$70)-$B$215,"n/a")</f>
        <v>0</v>
      </c>
    </row>
    <row r="218" customFormat="false" ht="15" hidden="false" customHeight="false" outlineLevel="0" collapsed="false">
      <c r="A218" s="8" t="s">
        <v>619</v>
      </c>
      <c r="B218" s="9" t="s">
        <v>495</v>
      </c>
      <c r="C218" s="9" t="s">
        <v>496</v>
      </c>
      <c r="D218" s="9" t="s">
        <v>497</v>
      </c>
      <c r="E218" s="9" t="s">
        <v>498</v>
      </c>
      <c r="F218" s="9" t="s">
        <v>499</v>
      </c>
    </row>
    <row r="219" customFormat="false" ht="15" hidden="false" customHeight="false" outlineLevel="0" collapsed="false">
      <c r="A219" s="10" t="s">
        <v>620</v>
      </c>
      <c r="C219" s="47" t="n">
        <f aca="false">IFERROR(C128*C118/C119,0)</f>
        <v>0</v>
      </c>
      <c r="D219" s="47" t="n">
        <f aca="false">IFERROR(D128*D118/D119,0)</f>
        <v>0.0394607189604331</v>
      </c>
      <c r="E219" s="47" t="n">
        <f aca="false">IFERROR(E128*E118/E119,0)</f>
        <v>0.0798059390229559</v>
      </c>
      <c r="F219" s="47" t="n">
        <f aca="false">IFERROR(F128*F118/F119,0)</f>
        <v>0.154719670023786</v>
      </c>
    </row>
    <row r="220" customFormat="false" ht="15" hidden="false" customHeight="false" outlineLevel="0" collapsed="false">
      <c r="A220" s="10" t="s">
        <v>621</v>
      </c>
      <c r="C220" s="47" t="n">
        <f aca="false">C124-C118*Inputs!$E$148-C219</f>
        <v>-0</v>
      </c>
      <c r="D220" s="47" t="n">
        <f aca="false">D124-D118*Inputs!$E$148-D219</f>
        <v>-0.154460718960433</v>
      </c>
      <c r="E220" s="47" t="n">
        <f aca="false">E124-E118*Inputs!$E$148-E219</f>
        <v>-0.109805939022956</v>
      </c>
      <c r="F220" s="47" t="n">
        <f aca="false">F124-F118*Inputs!$E$148-F219</f>
        <v>0.185280329976214</v>
      </c>
    </row>
    <row r="221" customFormat="false" ht="15" hidden="false" customHeight="false" outlineLevel="0" collapsed="false">
      <c r="A221" s="10" t="s">
        <v>622</v>
      </c>
      <c r="C221" s="47" t="n">
        <f aca="false">C220*(1-Inputs!$B$79)</f>
        <v>-0</v>
      </c>
      <c r="D221" s="47" t="n">
        <f aca="false">D220*(1-Inputs!$B$79)</f>
        <v>-0.117143009259592</v>
      </c>
      <c r="E221" s="47" t="n">
        <f aca="false">E220*(1-Inputs!$B$79)</f>
        <v>-0.0832768241550098</v>
      </c>
      <c r="F221" s="47" t="n">
        <f aca="false">F220*(1-Inputs!$B$79)</f>
        <v>0.140516602253961</v>
      </c>
    </row>
    <row r="222" customFormat="false" ht="15" hidden="false" customHeight="false" outlineLevel="0" collapsed="false">
      <c r="A222" s="10" t="s">
        <v>623</v>
      </c>
      <c r="C222" s="47" t="n">
        <f aca="false">C221+C219-C118*(Inputs!$E$149+(Inputs!$E$150-Inputs!$E$149)*0/3)</f>
        <v>0</v>
      </c>
      <c r="D222" s="47" t="n">
        <f aca="false">D221+D219-D118*(Inputs!$E$149+(Inputs!$E$150-Inputs!$E$149)*1/3)</f>
        <v>-0.141015623632493</v>
      </c>
      <c r="E222" s="47" t="n">
        <f aca="false">E221+E219-E118*(Inputs!$E$149+(Inputs!$E$150-Inputs!$E$149)*2/3)</f>
        <v>-0.106804218465387</v>
      </c>
      <c r="F222" s="47" t="n">
        <f aca="false">F221+F219-F118*(Inputs!$E$149+(Inputs!$E$150-Inputs!$E$149)*3/3)</f>
        <v>0.135236272277747</v>
      </c>
    </row>
    <row r="223" customFormat="false" ht="15" hidden="false" customHeight="false" outlineLevel="0" collapsed="false">
      <c r="A223" s="10" t="s">
        <v>624</v>
      </c>
      <c r="B223" s="47" t="n">
        <f aca="false">Inputs!$B$7*(SUMPRODUCT($C$222:$F$222,$C$527:$F$527)+$F$221*$B$175*$F$527)+(1-Inputs!$B$7)*(SUMPRODUCT($C$222:$F$222,$C$527:$F$527)+$F$222*$B$180*$F$527)</f>
        <v>1.53483950765179</v>
      </c>
    </row>
    <row r="225" customFormat="false" ht="15" hidden="false" customHeight="false" outlineLevel="0" collapsed="false">
      <c r="A225" s="8" t="s">
        <v>625</v>
      </c>
      <c r="B225" s="9" t="s">
        <v>495</v>
      </c>
      <c r="C225" s="9" t="s">
        <v>496</v>
      </c>
      <c r="D225" s="9" t="s">
        <v>497</v>
      </c>
      <c r="E225" s="9" t="s">
        <v>498</v>
      </c>
      <c r="F225" s="9" t="s">
        <v>499</v>
      </c>
    </row>
    <row r="226" customFormat="false" ht="15" hidden="false" customHeight="false" outlineLevel="0" collapsed="false">
      <c r="A226" s="10" t="s">
        <v>605</v>
      </c>
      <c r="B226" s="47" t="n">
        <f aca="false">Historicals!$C$73+Inputs!$E$120</f>
        <v>77.31</v>
      </c>
      <c r="C226" s="47" t="n">
        <f aca="false">B226*(1+Inputs!$E$124)</f>
        <v>75.7638</v>
      </c>
      <c r="D226" s="47" t="n">
        <f aca="false">C226*(1+Inputs!$E$125)</f>
        <v>75.7638</v>
      </c>
      <c r="E226" s="47" t="n">
        <f aca="false">D226*(1+Inputs!$E$126)</f>
        <v>76.521438</v>
      </c>
      <c r="F226" s="47" t="n">
        <f aca="false">E226*(1+Inputs!$E$127)</f>
        <v>78.05186676</v>
      </c>
    </row>
    <row r="227" customFormat="false" ht="15" hidden="false" customHeight="false" outlineLevel="0" collapsed="false">
      <c r="A227" s="10" t="s">
        <v>606</v>
      </c>
      <c r="B227" s="47" t="n">
        <f aca="false">Historicals!$C$74+Inputs!$E$121</f>
        <v>11.328</v>
      </c>
      <c r="C227" s="47" t="n">
        <f aca="false">B227*(1+Inputs!$E$128)</f>
        <v>12.4608</v>
      </c>
      <c r="D227" s="47" t="n">
        <f aca="false">C227*(1+Inputs!$E$129)</f>
        <v>13.70688</v>
      </c>
      <c r="E227" s="47" t="n">
        <f aca="false">D227*(1+Inputs!$E$130)</f>
        <v>15.077568</v>
      </c>
      <c r="F227" s="47" t="n">
        <f aca="false">E227*(1+Inputs!$E$131)</f>
        <v>16.5853248</v>
      </c>
    </row>
    <row r="228" customFormat="false" ht="15" hidden="false" customHeight="false" outlineLevel="0" collapsed="false">
      <c r="A228" s="10" t="s">
        <v>607</v>
      </c>
      <c r="B228" s="47" t="n">
        <f aca="false">Historicals!$C$75+Inputs!$E$122</f>
        <v>17.631</v>
      </c>
      <c r="C228" s="47" t="n">
        <f aca="false">B228*(1+Inputs!$E$132)</f>
        <v>19.74672</v>
      </c>
      <c r="D228" s="47" t="n">
        <f aca="false">C228*(1+Inputs!$E$133)</f>
        <v>22.1163264</v>
      </c>
      <c r="E228" s="47" t="n">
        <f aca="false">D228*(1+Inputs!$E$134)</f>
        <v>24.770285568</v>
      </c>
      <c r="F228" s="47" t="n">
        <f aca="false">E228*(1+Inputs!$E$135)</f>
        <v>27.74271983616</v>
      </c>
    </row>
    <row r="229" customFormat="false" ht="15" hidden="false" customHeight="false" outlineLevel="0" collapsed="false">
      <c r="A229" s="10" t="s">
        <v>608</v>
      </c>
      <c r="B229" s="26" t="n">
        <v>0</v>
      </c>
      <c r="C229" s="47" t="n">
        <f aca="false">0*Inputs!$E$136</f>
        <v>0</v>
      </c>
      <c r="D229" s="47" t="n">
        <f aca="false">0*Inputs!$E$137</f>
        <v>0</v>
      </c>
      <c r="E229" s="47" t="n">
        <f aca="false">0*Inputs!$E$138</f>
        <v>0</v>
      </c>
      <c r="F229" s="47" t="n">
        <f aca="false">0*Inputs!$E$139</f>
        <v>0</v>
      </c>
    </row>
    <row r="230" customFormat="false" ht="15" hidden="false" customHeight="false" outlineLevel="0" collapsed="false">
      <c r="A230" s="13" t="s">
        <v>108</v>
      </c>
      <c r="B230" s="18" t="n">
        <f aca="false">B226+B227+B228+B229</f>
        <v>106.269</v>
      </c>
      <c r="C230" s="18" t="n">
        <f aca="false">C226+C227+C228+C229</f>
        <v>107.97132</v>
      </c>
      <c r="D230" s="18" t="n">
        <f aca="false">D226+D227+D228+D229</f>
        <v>111.5870064</v>
      </c>
      <c r="E230" s="18" t="n">
        <f aca="false">E226+E227+E228+E229</f>
        <v>116.369291568</v>
      </c>
      <c r="F230" s="18" t="n">
        <f aca="false">F226+F227+F228+F229</f>
        <v>122.37991139616</v>
      </c>
    </row>
    <row r="231" customFormat="false" ht="15" hidden="false" customHeight="false" outlineLevel="0" collapsed="false">
      <c r="A231" s="10" t="s">
        <v>501</v>
      </c>
      <c r="C231" s="19" t="n">
        <f aca="false">IFERROR(C230/B230-1,0)</f>
        <v>0.0160189707252352</v>
      </c>
      <c r="D231" s="19" t="n">
        <f aca="false">IFERROR(D230/C230-1,0)</f>
        <v>0.0334874705616268</v>
      </c>
      <c r="E231" s="19" t="n">
        <f aca="false">IFERROR(E230/D230-1,0)</f>
        <v>0.0428570074803978</v>
      </c>
      <c r="F231" s="19" t="n">
        <f aca="false">IFERROR(F230/E230-1,0)</f>
        <v>0.0516512539276544</v>
      </c>
    </row>
    <row r="232" customFormat="false" ht="15" hidden="false" customHeight="false" outlineLevel="0" collapsed="false">
      <c r="A232" s="10" t="s">
        <v>609</v>
      </c>
      <c r="C232" s="47" t="n">
        <f aca="false">C226*(Inputs!$E$140+(Inputs!$E$141-Inputs!$E$140)*0/3)</f>
        <v>9.849294</v>
      </c>
      <c r="D232" s="47" t="n">
        <f aca="false">D226*(Inputs!$E$140+(Inputs!$E$141-Inputs!$E$140)*1/3)</f>
        <v>10.10184</v>
      </c>
      <c r="E232" s="47" t="n">
        <f aca="false">E226*(Inputs!$E$140+(Inputs!$E$141-Inputs!$E$140)*2/3)</f>
        <v>10.45792986</v>
      </c>
      <c r="F232" s="47" t="n">
        <f aca="false">F226*(Inputs!$E$140+(Inputs!$E$141-Inputs!$E$140)*3/3)</f>
        <v>10.9272613464</v>
      </c>
    </row>
    <row r="233" customFormat="false" ht="15" hidden="false" customHeight="false" outlineLevel="0" collapsed="false">
      <c r="A233" s="10" t="s">
        <v>610</v>
      </c>
      <c r="C233" s="47" t="n">
        <f aca="false">C227*(Inputs!$E$142+(Inputs!$E$143-Inputs!$E$142)*0/3)</f>
        <v>3.239808</v>
      </c>
      <c r="D233" s="47" t="n">
        <f aca="false">D227*(Inputs!$E$142+(Inputs!$E$143-Inputs!$E$142)*1/3)</f>
        <v>3.5637888</v>
      </c>
      <c r="E233" s="47" t="n">
        <f aca="false">E227*(Inputs!$E$142+(Inputs!$E$143-Inputs!$E$142)*2/3)</f>
        <v>3.92016768</v>
      </c>
      <c r="F233" s="47" t="n">
        <f aca="false">F227*(Inputs!$E$142+(Inputs!$E$143-Inputs!$E$142)*3/3)</f>
        <v>4.312184448</v>
      </c>
    </row>
    <row r="234" customFormat="false" ht="15" hidden="false" customHeight="false" outlineLevel="0" collapsed="false">
      <c r="A234" s="10" t="s">
        <v>611</v>
      </c>
      <c r="C234" s="47" t="n">
        <f aca="false">C228*(Inputs!$E$144+(Inputs!$E$145-Inputs!$E$144)*0/3)</f>
        <v>3.7518768</v>
      </c>
      <c r="D234" s="47" t="n">
        <f aca="false">D228*(Inputs!$E$144+(Inputs!$E$145-Inputs!$E$144)*1/3)</f>
        <v>4.202102016</v>
      </c>
      <c r="E234" s="47" t="n">
        <f aca="false">E228*(Inputs!$E$144+(Inputs!$E$145-Inputs!$E$144)*2/3)</f>
        <v>4.70635425792</v>
      </c>
      <c r="F234" s="47" t="n">
        <f aca="false">F228*(Inputs!$E$144+(Inputs!$E$145-Inputs!$E$144)*3/3)</f>
        <v>5.2711167688704</v>
      </c>
    </row>
    <row r="235" customFormat="false" ht="15" hidden="false" customHeight="false" outlineLevel="0" collapsed="false">
      <c r="A235" s="10" t="s">
        <v>612</v>
      </c>
      <c r="C235" s="47" t="n">
        <f aca="false">C229*(Inputs!$E$146+(Inputs!$E$147-Inputs!$E$146)*0/3)</f>
        <v>-0</v>
      </c>
      <c r="D235" s="47" t="n">
        <f aca="false">D229*(Inputs!$E$146+(Inputs!$E$147-Inputs!$E$146)*1/3)</f>
        <v>-0</v>
      </c>
      <c r="E235" s="47" t="n">
        <f aca="false">E229*(Inputs!$E$146+(Inputs!$E$147-Inputs!$E$146)*2/3)</f>
        <v>0</v>
      </c>
      <c r="F235" s="47" t="n">
        <f aca="false">F229*(Inputs!$E$146+(Inputs!$E$147-Inputs!$E$146)*3/3)</f>
        <v>0</v>
      </c>
    </row>
    <row r="236" customFormat="false" ht="15" hidden="false" customHeight="false" outlineLevel="0" collapsed="false">
      <c r="A236" s="10" t="s">
        <v>505</v>
      </c>
      <c r="C236" s="47" t="n">
        <f aca="false">C232+C233+C234+C235</f>
        <v>16.8409788</v>
      </c>
      <c r="D236" s="47" t="n">
        <f aca="false">D232+D233+D234+D235</f>
        <v>17.867730816</v>
      </c>
      <c r="E236" s="47" t="n">
        <f aca="false">E232+E233+E234+E235</f>
        <v>19.08445179792</v>
      </c>
      <c r="F236" s="47" t="n">
        <f aca="false">F232+F233+F234+F235</f>
        <v>20.5105625632704</v>
      </c>
    </row>
    <row r="237" customFormat="false" ht="15" hidden="false" customHeight="false" outlineLevel="0" collapsed="false">
      <c r="A237" s="10" t="s">
        <v>613</v>
      </c>
      <c r="B237" s="47" t="n">
        <f aca="false">(Inputs!$E$120+Inputs!$E$121+Inputs!$E$122)*Inputs!$E$148</f>
        <v>1.104</v>
      </c>
      <c r="C237" s="47" t="n">
        <f aca="false">C230*Inputs!$E$148</f>
        <v>4.3188528</v>
      </c>
      <c r="D237" s="47" t="n">
        <f aca="false">D230*Inputs!$E$148</f>
        <v>4.463480256</v>
      </c>
      <c r="E237" s="47" t="n">
        <f aca="false">E230*Inputs!$E$148</f>
        <v>4.65477166272</v>
      </c>
      <c r="F237" s="47" t="n">
        <f aca="false">F230*Inputs!$E$148</f>
        <v>4.8951964558464</v>
      </c>
    </row>
    <row r="238" customFormat="false" ht="15" hidden="false" customHeight="false" outlineLevel="0" collapsed="false">
      <c r="A238" s="10" t="s">
        <v>614</v>
      </c>
      <c r="B238" s="26" t="n">
        <v>0</v>
      </c>
      <c r="C238" s="26" t="n">
        <v>0</v>
      </c>
      <c r="D238" s="26" t="n">
        <v>0</v>
      </c>
      <c r="E238" s="26" t="n">
        <v>0</v>
      </c>
      <c r="F238" s="26" t="n">
        <v>0</v>
      </c>
    </row>
    <row r="239" customFormat="false" ht="15" hidden="false" customHeight="false" outlineLevel="0" collapsed="false">
      <c r="A239" s="10" t="s">
        <v>615</v>
      </c>
      <c r="B239" s="47" t="n">
        <f aca="false">Historicals!$C$76+Inputs!$B$53/4</f>
        <v>6.748</v>
      </c>
      <c r="C239" s="47" t="n">
        <f aca="false">Inputs!$B$53*MAX(0,MIN(1,(Inputs!$B$57-1+0.5)/Inputs!$B$57))+$B243*IF(1&lt;=Inputs!$B$49,1,0)/Inputs!$B$49+C242*0.5/Inputs!$B$49</f>
        <v>8.07114779166667</v>
      </c>
      <c r="D239" s="47" t="n">
        <f aca="false">Inputs!$B$53*MAX(0,MIN(1,(Inputs!$B$57-2+0.5)/Inputs!$B$57))+$B243*IF(2&lt;=Inputs!$B$49,1,0)/Inputs!$B$49+C242*IF(1&lt;=Inputs!$B$49-1,1,IF(1=Inputs!$B$49,0.5,0))/Inputs!$B$49+D242*0.5/Inputs!$B$49</f>
        <v>8.842109384</v>
      </c>
      <c r="E239" s="47" t="n">
        <f aca="false">Inputs!$B$53*MAX(0,MIN(1,(Inputs!$B$57-3+0.5)/Inputs!$B$57))+$B243*IF(3&lt;=Inputs!$B$49,1,0)/Inputs!$B$49+C242*IF(2&lt;=Inputs!$B$49-1,1,IF(2=Inputs!$B$49,0.5,0))/Inputs!$B$49+D242*IF(1&lt;=Inputs!$B$49-1,1,IF(1=Inputs!$B$49,0.5,0))/Inputs!$B$49+E242*0.5/Inputs!$B$49</f>
        <v>9.35239152604334</v>
      </c>
      <c r="F239" s="47" t="n">
        <f aca="false">Inputs!$B$53*MAX(0,MIN(1,(Inputs!$B$57-4+0.5)/Inputs!$B$57))+$B243*IF(4&lt;=Inputs!$B$49,1,0)/Inputs!$B$49+C242*IF(3&lt;=Inputs!$B$49-1,1,IF(3=Inputs!$B$49,0.5,0))/Inputs!$B$49+D242*IF(2&lt;=Inputs!$B$49-1,1,IF(2=Inputs!$B$49,0.5,0))/Inputs!$B$49+E242*IF(1&lt;=Inputs!$B$49-1,1,IF(1=Inputs!$B$49,0.5,0))/Inputs!$B$49+F242*0.5/Inputs!$B$49</f>
        <v>9.59117609106747</v>
      </c>
    </row>
    <row r="240" customFormat="false" ht="15" hidden="false" customHeight="false" outlineLevel="0" collapsed="false">
      <c r="A240" s="13" t="s">
        <v>513</v>
      </c>
      <c r="B240" s="18" t="n">
        <f aca="false">Historicals!$C$72+(Inputs!$E$120+Inputs!$E$121+Inputs!$E$122)*Inputs!$E$123</f>
        <v>2.471</v>
      </c>
      <c r="C240" s="18" t="n">
        <f aca="false">C236-C237-C239</f>
        <v>4.45097820833333</v>
      </c>
      <c r="D240" s="18" t="n">
        <f aca="false">D236-D237-D239</f>
        <v>4.562141176</v>
      </c>
      <c r="E240" s="18" t="n">
        <f aca="false">E236-E237-E239</f>
        <v>5.07728860915667</v>
      </c>
      <c r="F240" s="18" t="n">
        <f aca="false">F236-F237-F239</f>
        <v>6.02419001635654</v>
      </c>
    </row>
    <row r="241" customFormat="false" ht="15" hidden="false" customHeight="false" outlineLevel="0" collapsed="false">
      <c r="A241" s="10" t="s">
        <v>514</v>
      </c>
      <c r="B241" s="19" t="n">
        <f aca="false">IFERROR(B240/B230,0)</f>
        <v>0.0232523125276421</v>
      </c>
      <c r="C241" s="19" t="n">
        <f aca="false">IFERROR(C240/C230,0)</f>
        <v>0.0412237083730507</v>
      </c>
      <c r="D241" s="19" t="n">
        <f aca="false">IFERROR(D240/D230,0)</f>
        <v>0.040884161365942</v>
      </c>
      <c r="E241" s="19" t="n">
        <f aca="false">IFERROR(E240/E230,0)</f>
        <v>0.0436308285523056</v>
      </c>
      <c r="F241" s="19" t="n">
        <f aca="false">IFERROR(F240/F230,0)</f>
        <v>0.0492253176818819</v>
      </c>
    </row>
    <row r="242" customFormat="false" ht="15" hidden="false" customHeight="false" outlineLevel="0" collapsed="false">
      <c r="A242" s="10" t="s">
        <v>616</v>
      </c>
      <c r="B242" s="47" t="n">
        <f aca="false">Inputs!$B$58</f>
        <v>20</v>
      </c>
      <c r="C242" s="47" t="n">
        <f aca="false">C230*(Inputs!$E$149+(Inputs!$E$150-Inputs!$E$149)*0/3)</f>
        <v>16.195698</v>
      </c>
      <c r="D242" s="47" t="n">
        <f aca="false">D230*(Inputs!$E$149+(Inputs!$E$150-Inputs!$E$149)*1/3)</f>
        <v>14.134354144</v>
      </c>
      <c r="E242" s="47" t="n">
        <f aca="false">E230*(Inputs!$E$149+(Inputs!$E$150-Inputs!$E$149)*2/3)</f>
        <v>12.02482679536</v>
      </c>
      <c r="F242" s="47" t="n">
        <f aca="false">F230*(Inputs!$E$149+(Inputs!$E$150-Inputs!$E$149)*3/3)</f>
        <v>9.7903929116928</v>
      </c>
    </row>
    <row r="243" customFormat="false" ht="15" hidden="false" customHeight="false" outlineLevel="0" collapsed="false">
      <c r="A243" s="10" t="s">
        <v>617</v>
      </c>
      <c r="B243" s="47" t="n">
        <f aca="false">Inputs!$B$58-Historicals!$C$78</f>
        <v>6.986</v>
      </c>
    </row>
    <row r="244" customFormat="false" ht="15" hidden="false" customHeight="false" outlineLevel="0" collapsed="false">
      <c r="A244" s="10" t="s">
        <v>618</v>
      </c>
      <c r="C244" s="48" t="n">
        <f aca="false">IFERROR(C242/C239,0)</f>
        <v>2.00661645877948</v>
      </c>
      <c r="D244" s="48" t="n">
        <f aca="false">IFERROR(D242/D239,0)</f>
        <v>1.59852740224821</v>
      </c>
      <c r="E244" s="48" t="n">
        <f aca="false">IFERROR(E242/E239,0)</f>
        <v>1.28574886561098</v>
      </c>
      <c r="F244" s="48" t="n">
        <f aca="false">IFERROR(F242/F239,0)</f>
        <v>1.02077084381871</v>
      </c>
    </row>
    <row r="245" customFormat="false" ht="15" hidden="false" customHeight="false" outlineLevel="0" collapsed="false">
      <c r="A245" s="10" t="s">
        <v>523</v>
      </c>
      <c r="B245" s="47" t="n">
        <f aca="false">B240-Inputs!$B$38*B242+Inputs!$B$38*B239</f>
        <v>-5.4802</v>
      </c>
      <c r="C245" s="47" t="n">
        <f aca="false">C240-Inputs!$B$38*C242+Inputs!$B$38*C239</f>
        <v>-0.423751916666669</v>
      </c>
      <c r="D245" s="47" t="n">
        <f aca="false">D240-Inputs!$B$38*D242+Inputs!$B$38*D239</f>
        <v>1.38679432</v>
      </c>
      <c r="E245" s="47" t="n">
        <f aca="false">E240-Inputs!$B$38*E242+Inputs!$B$38*E239</f>
        <v>3.47382744756667</v>
      </c>
      <c r="F245" s="47" t="n">
        <f aca="false">F240-Inputs!$B$38*F242+Inputs!$B$38*F239</f>
        <v>5.90465992398134</v>
      </c>
    </row>
    <row r="246" customFormat="false" ht="15" hidden="false" customHeight="false" outlineLevel="0" collapsed="false">
      <c r="A246" s="10" t="s">
        <v>524</v>
      </c>
      <c r="B246" s="47" t="n">
        <f aca="false">MIN(0,MAX(0,B245),1E+099)</f>
        <v>0</v>
      </c>
      <c r="C246" s="47" t="n">
        <f aca="false">MIN(B248,MAX(0,C245),1E+099)</f>
        <v>0</v>
      </c>
      <c r="D246" s="47" t="n">
        <f aca="false">MIN(C248,MAX(0,D245),1E+099)</f>
        <v>1.38679432</v>
      </c>
      <c r="E246" s="47" t="n">
        <f aca="false">MIN(D248,MAX(0,E245),1E+099)</f>
        <v>3.47382744756667</v>
      </c>
      <c r="F246" s="47" t="n">
        <f aca="false">MIN(E248,MAX(0,F245),1E+099)</f>
        <v>0.619578232433328</v>
      </c>
    </row>
    <row r="247" customFormat="false" ht="15" hidden="false" customHeight="false" outlineLevel="0" collapsed="false">
      <c r="A247" s="10" t="s">
        <v>525</v>
      </c>
      <c r="B247" s="47" t="n">
        <f aca="false">MIN(0,MAX(0,B245)-B246)</f>
        <v>0</v>
      </c>
      <c r="C247" s="47" t="n">
        <f aca="false">MIN(B249,MAX(0,C245)-C246)</f>
        <v>0</v>
      </c>
      <c r="D247" s="47" t="n">
        <f aca="false">MIN(C249,MAX(0,D245)-D246)</f>
        <v>0</v>
      </c>
      <c r="E247" s="47" t="n">
        <f aca="false">MIN(D249,MAX(0,E245)-E246)</f>
        <v>0</v>
      </c>
      <c r="F247" s="47" t="n">
        <f aca="false">MIN(E249,MAX(0,F245)-F246)</f>
        <v>0.423751916666669</v>
      </c>
    </row>
    <row r="248" customFormat="false" ht="15" hidden="false" customHeight="false" outlineLevel="0" collapsed="false">
      <c r="A248" s="10" t="s">
        <v>526</v>
      </c>
      <c r="B248" s="47" t="n">
        <f aca="false">0-B246+MAX(0,-B245)</f>
        <v>5.4802</v>
      </c>
      <c r="C248" s="47" t="n">
        <f aca="false">B248-C246</f>
        <v>5.4802</v>
      </c>
      <c r="D248" s="47" t="n">
        <f aca="false">C248-D246</f>
        <v>4.09340568</v>
      </c>
      <c r="E248" s="47" t="n">
        <f aca="false">D248-E246</f>
        <v>0.619578232433328</v>
      </c>
      <c r="F248" s="47" t="n">
        <f aca="false">E248-F246</f>
        <v>0</v>
      </c>
    </row>
    <row r="249" customFormat="false" ht="15" hidden="false" customHeight="false" outlineLevel="0" collapsed="false">
      <c r="A249" s="10" t="s">
        <v>527</v>
      </c>
      <c r="B249" s="26" t="n">
        <v>0</v>
      </c>
      <c r="C249" s="47" t="n">
        <f aca="false">B249-C247+MAX(0,-C245)</f>
        <v>0.423751916666669</v>
      </c>
      <c r="D249" s="47" t="n">
        <f aca="false">C249-D247+MAX(0,-D245)</f>
        <v>0.423751916666669</v>
      </c>
      <c r="E249" s="47" t="n">
        <f aca="false">D249-E247+MAX(0,-E245)</f>
        <v>0.423751916666669</v>
      </c>
      <c r="F249" s="47" t="n">
        <f aca="false">E249-F247+MAX(0,-F245)</f>
        <v>0</v>
      </c>
    </row>
    <row r="250" customFormat="false" ht="15" hidden="false" customHeight="false" outlineLevel="0" collapsed="false">
      <c r="A250" s="10" t="s">
        <v>528</v>
      </c>
      <c r="B250" s="47" t="n">
        <f aca="false">MAX(0,B245-B246-B247)*Inputs!$B$34</f>
        <v>0</v>
      </c>
      <c r="C250" s="47" t="n">
        <f aca="false">MAX(0,C245-C246-C247)*Inputs!$B$34</f>
        <v>0</v>
      </c>
      <c r="D250" s="47" t="n">
        <f aca="false">MAX(0,D245-D246-D247)*Inputs!$B$34</f>
        <v>0</v>
      </c>
      <c r="E250" s="47" t="n">
        <f aca="false">MAX(0,E245-E246-E247)*Inputs!$B$34</f>
        <v>0</v>
      </c>
      <c r="F250" s="47" t="n">
        <f aca="false">MAX(0,F245-F246-F247)*Inputs!$B$34</f>
        <v>0.194453190995254</v>
      </c>
    </row>
    <row r="251" customFormat="false" ht="15" hidden="false" customHeight="false" outlineLevel="0" collapsed="false">
      <c r="A251" s="10" t="s">
        <v>529</v>
      </c>
      <c r="B251" s="47" t="n">
        <f aca="false">B245-B250</f>
        <v>-5.4802</v>
      </c>
      <c r="C251" s="47" t="n">
        <f aca="false">C245-C250</f>
        <v>-0.423751916666669</v>
      </c>
      <c r="D251" s="47" t="n">
        <f aca="false">D245-D250</f>
        <v>1.38679432</v>
      </c>
      <c r="E251" s="47" t="n">
        <f aca="false">E245-E250</f>
        <v>3.47382744756667</v>
      </c>
      <c r="F251" s="47" t="n">
        <f aca="false">F245-F250</f>
        <v>5.71020673298608</v>
      </c>
    </row>
    <row r="252" customFormat="false" ht="15" hidden="false" customHeight="false" outlineLevel="0" collapsed="false">
      <c r="A252" s="10" t="s">
        <v>530</v>
      </c>
      <c r="B252" s="47" t="n">
        <f aca="false">MIN(Inputs!$B$39,Inputs!$B$35*MAX(0,B251),1E+099)</f>
        <v>0</v>
      </c>
      <c r="C252" s="47" t="n">
        <f aca="false">MIN(B254,Inputs!$B$35*MAX(0,C251),1E+099)</f>
        <v>0</v>
      </c>
      <c r="D252" s="47" t="n">
        <f aca="false">MIN(C254,Inputs!$B$35*MAX(0,D251),1E+099)</f>
        <v>1.109435456</v>
      </c>
      <c r="E252" s="47" t="n">
        <f aca="false">MIN(D254,Inputs!$B$35*MAX(0,E251),1E+099)</f>
        <v>2.77906195805333</v>
      </c>
      <c r="F252" s="47" t="n">
        <f aca="false">MIN(E254,Inputs!$B$35*MAX(0,F251),1E+099)</f>
        <v>1.59170258594666</v>
      </c>
    </row>
    <row r="253" customFormat="false" ht="15" hidden="false" customHeight="false" outlineLevel="0" collapsed="false">
      <c r="A253" s="10" t="s">
        <v>531</v>
      </c>
      <c r="B253" s="47" t="n">
        <f aca="false">MIN(0,Inputs!$B$35*MAX(0,B251)-B252)</f>
        <v>0</v>
      </c>
      <c r="C253" s="47" t="n">
        <f aca="false">MIN(B255,Inputs!$B$35*MAX(0,C251)-C252)</f>
        <v>0</v>
      </c>
      <c r="D253" s="47" t="n">
        <f aca="false">MIN(C255,Inputs!$B$35*MAX(0,D251)-D252)</f>
        <v>0</v>
      </c>
      <c r="E253" s="47" t="n">
        <f aca="false">MIN(D255,Inputs!$B$35*MAX(0,E251)-E252)</f>
        <v>0</v>
      </c>
      <c r="F253" s="47" t="n">
        <f aca="false">MIN(E255,Inputs!$B$35*MAX(0,F251)-F252)</f>
        <v>0.423751916666669</v>
      </c>
    </row>
    <row r="254" customFormat="false" ht="15" hidden="false" customHeight="false" outlineLevel="0" collapsed="false">
      <c r="A254" s="10" t="s">
        <v>532</v>
      </c>
      <c r="B254" s="47" t="n">
        <f aca="false">Inputs!$B$39-B252+MAX(0,-B251)</f>
        <v>5.4802</v>
      </c>
      <c r="C254" s="47" t="n">
        <f aca="false">B254-C252</f>
        <v>5.4802</v>
      </c>
      <c r="D254" s="47" t="n">
        <f aca="false">C254-D252</f>
        <v>4.370764544</v>
      </c>
      <c r="E254" s="47" t="n">
        <f aca="false">D254-E252</f>
        <v>1.59170258594666</v>
      </c>
      <c r="F254" s="47" t="n">
        <f aca="false">E254-F252</f>
        <v>0</v>
      </c>
    </row>
    <row r="255" customFormat="false" ht="15" hidden="false" customHeight="false" outlineLevel="0" collapsed="false">
      <c r="A255" s="10" t="s">
        <v>533</v>
      </c>
      <c r="B255" s="26" t="n">
        <v>0</v>
      </c>
      <c r="C255" s="47" t="n">
        <f aca="false">B255-C253+MAX(0,-C251)</f>
        <v>0.423751916666669</v>
      </c>
      <c r="D255" s="47" t="n">
        <f aca="false">C255-D253+MAX(0,-D251)</f>
        <v>0.423751916666669</v>
      </c>
      <c r="E255" s="47" t="n">
        <f aca="false">D255-E253+MAX(0,-E251)</f>
        <v>0.423751916666669</v>
      </c>
      <c r="F255" s="47" t="n">
        <f aca="false">E255-F253+MAX(0,-F251)</f>
        <v>0</v>
      </c>
    </row>
    <row r="256" customFormat="false" ht="15" hidden="false" customHeight="false" outlineLevel="0" collapsed="false">
      <c r="A256" s="10" t="s">
        <v>534</v>
      </c>
      <c r="B256" s="47" t="n">
        <f aca="false">MAX(0,B251-B252-B253)*Inputs!$B$33</f>
        <v>0</v>
      </c>
      <c r="C256" s="47" t="n">
        <f aca="false">MAX(0,C251-C252-C253)*Inputs!$B$33</f>
        <v>0</v>
      </c>
      <c r="D256" s="47" t="n">
        <f aca="false">MAX(0,D251-D252-D253)*Inputs!$B$33</f>
        <v>0.0582453614400002</v>
      </c>
      <c r="E256" s="47" t="n">
        <f aca="false">MAX(0,E251-E252-E253)*Inputs!$B$33</f>
        <v>0.1459007527978</v>
      </c>
      <c r="F256" s="47" t="n">
        <f aca="false">MAX(0,F251-F252-F253)*Inputs!$B$33</f>
        <v>0.775897968378278</v>
      </c>
    </row>
    <row r="257" customFormat="false" ht="15" hidden="false" customHeight="false" outlineLevel="0" collapsed="false">
      <c r="A257" s="10" t="s">
        <v>535</v>
      </c>
      <c r="B257" s="47" t="n">
        <f aca="false">MIN(0,B256,MAX(0,1E+099-B252)*Inputs!$B$33)</f>
        <v>0</v>
      </c>
      <c r="C257" s="47" t="n">
        <f aca="false">MIN(B258,C256,MAX(0,1E+099-C252)*Inputs!$B$33)</f>
        <v>0</v>
      </c>
      <c r="D257" s="47" t="n">
        <f aca="false">MIN(C258,D256,MAX(0,1E+099-D252)*Inputs!$B$33)</f>
        <v>0</v>
      </c>
      <c r="E257" s="47" t="n">
        <f aca="false">MIN(D258,E256,MAX(0,1E+099-E252)*Inputs!$B$33)</f>
        <v>0</v>
      </c>
      <c r="F257" s="47" t="n">
        <f aca="false">MIN(E258,F256,MAX(0,1E+099-F252)*Inputs!$B$33)</f>
        <v>0</v>
      </c>
    </row>
    <row r="258" customFormat="false" ht="15" hidden="false" customHeight="false" outlineLevel="0" collapsed="false">
      <c r="A258" s="10" t="s">
        <v>536</v>
      </c>
      <c r="B258" s="47" t="n">
        <f aca="false">0-B257</f>
        <v>0</v>
      </c>
      <c r="C258" s="47" t="n">
        <f aca="false">B258-C257</f>
        <v>0</v>
      </c>
      <c r="D258" s="47" t="n">
        <f aca="false">C258-D257</f>
        <v>0</v>
      </c>
      <c r="E258" s="47" t="n">
        <f aca="false">D258-E257</f>
        <v>0</v>
      </c>
      <c r="F258" s="47" t="n">
        <f aca="false">E258-F257</f>
        <v>0</v>
      </c>
    </row>
    <row r="259" customFormat="false" ht="15" hidden="false" customHeight="false" outlineLevel="0" collapsed="false">
      <c r="A259" s="13" t="s">
        <v>537</v>
      </c>
      <c r="B259" s="18" t="n">
        <f aca="false">MAX(0,(Inputs!$E$120+Inputs!$E$121+Inputs!$E$122)*Inputs!$E$123)*Inputs!$B$41</f>
        <v>0.0621</v>
      </c>
      <c r="C259" s="18" t="n">
        <f aca="false">C256-C257+C250</f>
        <v>0</v>
      </c>
      <c r="D259" s="18" t="n">
        <f aca="false">D256-D257+D250</f>
        <v>0.0582453614400002</v>
      </c>
      <c r="E259" s="18" t="n">
        <f aca="false">E256-E257+E250</f>
        <v>0.1459007527978</v>
      </c>
      <c r="F259" s="18" t="n">
        <f aca="false">F256-F257+F250</f>
        <v>0.970351159373531</v>
      </c>
    </row>
    <row r="260" customFormat="false" ht="15" hidden="false" customHeight="false" outlineLevel="0" collapsed="false">
      <c r="A260" s="10" t="s">
        <v>538</v>
      </c>
      <c r="B260" s="47" t="n">
        <f aca="false">0+Inputs!$B$38*(B242-B239)</f>
        <v>7.9512</v>
      </c>
      <c r="C260" s="47" t="n">
        <f aca="false">B260+Inputs!$B$38*(C242-C239)</f>
        <v>12.825930125</v>
      </c>
      <c r="D260" s="47" t="n">
        <f aca="false">C260+Inputs!$B$38*(D242-D239)</f>
        <v>16.001276981</v>
      </c>
      <c r="E260" s="47" t="n">
        <f aca="false">D260+Inputs!$B$38*(E242-E239)</f>
        <v>17.60473814259</v>
      </c>
      <c r="F260" s="47" t="n">
        <f aca="false">E260+Inputs!$B$38*(F242-F239)</f>
        <v>17.7242682349652</v>
      </c>
    </row>
    <row r="261" customFormat="false" ht="15" hidden="false" customHeight="false" outlineLevel="0" collapsed="false">
      <c r="A261" s="10" t="s">
        <v>539</v>
      </c>
      <c r="B261" s="47" t="n">
        <f aca="false">B260*Inputs!$B$79</f>
        <v>1.92100992</v>
      </c>
      <c r="C261" s="47" t="n">
        <f aca="false">C260*Inputs!$B$79</f>
        <v>3.0987447182</v>
      </c>
      <c r="D261" s="47" t="n">
        <f aca="false">D260*Inputs!$B$79</f>
        <v>3.8659085186096</v>
      </c>
      <c r="E261" s="47" t="n">
        <f aca="false">E260*Inputs!$B$79</f>
        <v>4.25330473524974</v>
      </c>
      <c r="F261" s="47" t="n">
        <f aca="false">F260*Inputs!$B$79</f>
        <v>4.28218320556759</v>
      </c>
    </row>
    <row r="262" customFormat="false" ht="15" hidden="false" customHeight="false" outlineLevel="0" collapsed="false">
      <c r="A262" s="10" t="s">
        <v>540</v>
      </c>
      <c r="C262" s="47" t="n">
        <f aca="false">C240-C259</f>
        <v>4.45097820833333</v>
      </c>
      <c r="D262" s="47" t="n">
        <f aca="false">D240-D259</f>
        <v>4.50389581456</v>
      </c>
      <c r="E262" s="47" t="n">
        <f aca="false">E240-E259</f>
        <v>4.93138785635887</v>
      </c>
      <c r="F262" s="47" t="n">
        <f aca="false">F240-F259</f>
        <v>5.05383885698301</v>
      </c>
    </row>
    <row r="263" customFormat="false" ht="15" hidden="false" customHeight="false" outlineLevel="0" collapsed="false">
      <c r="A263" s="10" t="s">
        <v>541</v>
      </c>
      <c r="C263" s="47" t="n">
        <f aca="false">Inputs!$B$65*(C230-B230)</f>
        <v>0</v>
      </c>
      <c r="D263" s="47" t="n">
        <f aca="false">Inputs!$B$65*(D230-C230)</f>
        <v>0</v>
      </c>
      <c r="E263" s="47" t="n">
        <f aca="false">Inputs!$B$65*(E230-D230)</f>
        <v>0</v>
      </c>
      <c r="F263" s="47" t="n">
        <f aca="false">Inputs!$B$65*(F230-E230)</f>
        <v>0</v>
      </c>
    </row>
    <row r="264" customFormat="false" ht="15" hidden="false" customHeight="false" outlineLevel="0" collapsed="false">
      <c r="A264" s="13" t="s">
        <v>542</v>
      </c>
      <c r="B264" s="18" t="n">
        <f aca="false">B265-B237</f>
        <v>-4.9471</v>
      </c>
      <c r="C264" s="18" t="n">
        <f aca="false">C240+C239-C259-C242-C263</f>
        <v>-3.673572</v>
      </c>
      <c r="D264" s="18" t="n">
        <f aca="false">D240+D239-D259-D242-D263</f>
        <v>-0.788348945439996</v>
      </c>
      <c r="E264" s="18" t="n">
        <f aca="false">E240+E239-E259-E242-E263</f>
        <v>2.2589525870422</v>
      </c>
      <c r="F264" s="18" t="n">
        <f aca="false">F240+F239-F259-F242-F263</f>
        <v>4.85462203635767</v>
      </c>
    </row>
    <row r="265" customFormat="false" ht="15" hidden="false" customHeight="false" outlineLevel="0" collapsed="false">
      <c r="A265" s="10" t="s">
        <v>543</v>
      </c>
      <c r="B265" s="47" t="n">
        <f aca="false">(Inputs!$E$120+Inputs!$E$121+Inputs!$E$122)*Inputs!$E$123+Inputs!$B$53/4+B237-B259-B243</f>
        <v>-3.8431</v>
      </c>
      <c r="C265" s="47" t="n">
        <f aca="false">C264+C237+C238</f>
        <v>0.645280799999997</v>
      </c>
      <c r="D265" s="47" t="n">
        <f aca="false">D264+D237+D238</f>
        <v>3.67513131056</v>
      </c>
      <c r="E265" s="47" t="n">
        <f aca="false">E264+E237+E238</f>
        <v>6.9137242497622</v>
      </c>
      <c r="F265" s="47" t="n">
        <f aca="false">F264+F237+F238</f>
        <v>9.74981849220407</v>
      </c>
    </row>
    <row r="266" customFormat="false" ht="15" hidden="false" customHeight="false" outlineLevel="0" collapsed="false">
      <c r="A266" s="10" t="s">
        <v>544</v>
      </c>
      <c r="B266" s="47" t="n">
        <f aca="false">Historicals!$B$87</f>
        <v>45.447</v>
      </c>
      <c r="C266" s="47" t="n">
        <f aca="false">B277</f>
        <v>41.8977788944724</v>
      </c>
      <c r="D266" s="47" t="n">
        <f aca="false">C277</f>
        <v>43.6833012983284</v>
      </c>
      <c r="E266" s="47" t="n">
        <f aca="false">D277</f>
        <v>48.6333863620969</v>
      </c>
      <c r="F266" s="47" t="n">
        <f aca="false">E277</f>
        <v>57.0902023868378</v>
      </c>
    </row>
    <row r="267" customFormat="false" ht="15" hidden="false" customHeight="false" outlineLevel="0" collapsed="false">
      <c r="A267" s="10" t="s">
        <v>545</v>
      </c>
      <c r="B267" s="47" t="n">
        <f aca="false">Historicals!$B$88</f>
        <v>9.523</v>
      </c>
      <c r="C267" s="47" t="n">
        <f aca="false">B278</f>
        <v>9.523</v>
      </c>
      <c r="D267" s="47" t="n">
        <f aca="false">C278</f>
        <v>9.523</v>
      </c>
      <c r="E267" s="47" t="n">
        <f aca="false">D278</f>
        <v>9.523</v>
      </c>
      <c r="F267" s="47" t="n">
        <f aca="false">E278</f>
        <v>9.523</v>
      </c>
    </row>
    <row r="268" customFormat="false" ht="15" hidden="false" customHeight="false" outlineLevel="0" collapsed="false">
      <c r="A268" s="10" t="s">
        <v>546</v>
      </c>
      <c r="B268" s="26" t="n">
        <v>0</v>
      </c>
      <c r="C268" s="47" t="n">
        <f aca="false">Inputs!$B$63</f>
        <v>0</v>
      </c>
      <c r="D268" s="26" t="n">
        <v>0</v>
      </c>
      <c r="E268" s="26" t="n">
        <v>0</v>
      </c>
      <c r="F268" s="26" t="n">
        <v>0</v>
      </c>
    </row>
    <row r="269" customFormat="false" ht="15" hidden="false" customHeight="false" outlineLevel="0" collapsed="false">
      <c r="A269" s="10" t="s">
        <v>547</v>
      </c>
      <c r="B269" s="47" t="n">
        <f aca="false">(B266+B265-B268+Inputs!$B$60/4*B266/2-Inputs!$B$61/4*(B267-B268/2))/(1-Inputs!$B$60/4/2)</f>
        <v>41.8977788944724</v>
      </c>
      <c r="C269" s="47" t="n">
        <f aca="false">(C266+C265-C268+Inputs!$B$60*C266/2-Inputs!$B$61*(C267-C268/2))/(1-Inputs!$B$60/2)</f>
        <v>43.6833012983284</v>
      </c>
      <c r="D269" s="47" t="n">
        <f aca="false">(D266+D265-D268+Inputs!$B$60*D266/2-Inputs!$B$61*(D267-D268/2))/(1-Inputs!$B$60/2)</f>
        <v>48.6333863620969</v>
      </c>
      <c r="E269" s="47" t="n">
        <f aca="false">(E266+E265-E268+Inputs!$B$60*E266/2-Inputs!$B$61*(E267-E268/2))/(1-Inputs!$B$60/2)</f>
        <v>57.0902023868378</v>
      </c>
      <c r="F269" s="47" t="n">
        <f aca="false">(F266+F265-F268+Inputs!$B$60*F266/2-Inputs!$B$61*(F267-F268/2))/(1-Inputs!$B$60/2)</f>
        <v>68.7861682926313</v>
      </c>
    </row>
    <row r="270" customFormat="false" ht="15" hidden="false" customHeight="false" outlineLevel="0" collapsed="false">
      <c r="A270" s="10" t="s">
        <v>548</v>
      </c>
      <c r="B270" s="47" t="n">
        <f aca="false">IF(B269&gt;=Inputs!$B$67,0,(Inputs!$B$67-B266-B265+B268-Inputs!$B$60/4*(B266+Inputs!$B$67)/2+Inputs!$B$61/4*(B267-B268/2))/(1-Inputs!$B$61/4*Inputs!$B$69/(2*(1-Inputs!$B$70))))</f>
        <v>0</v>
      </c>
      <c r="C270" s="47" t="n">
        <f aca="false">IF(C269&gt;=Inputs!$B$67,0,(Inputs!$B$67-C266-C265+C268-Inputs!$B$60*(C266+Inputs!$B$67)/2+Inputs!$B$61*(C267-C268/2))/(1-Inputs!$B$61*Inputs!$B$69/(2*(1-Inputs!$B$70))))</f>
        <v>0</v>
      </c>
      <c r="D270" s="47" t="n">
        <f aca="false">IF(D269&gt;=Inputs!$B$67,0,(Inputs!$B$67-D266-D265+D268-Inputs!$B$60*(D266+Inputs!$B$67)/2+Inputs!$B$61*(D267-D268/2))/(1-Inputs!$B$61*Inputs!$B$69/(2*(1-Inputs!$B$70))))</f>
        <v>0</v>
      </c>
      <c r="E270" s="47" t="n">
        <f aca="false">IF(E269&gt;=Inputs!$B$67,0,(Inputs!$B$67-E266-E265+E268-Inputs!$B$60*(E266+Inputs!$B$67)/2+Inputs!$B$61*(E267-E268/2))/(1-Inputs!$B$61*Inputs!$B$69/(2*(1-Inputs!$B$70))))</f>
        <v>0</v>
      </c>
      <c r="F270" s="47" t="n">
        <f aca="false">IF(F269&gt;=Inputs!$B$67,0,(Inputs!$B$67-F266-F265+F268-Inputs!$B$60*(F266+Inputs!$B$67)/2+Inputs!$B$61*(F267-F268/2))/(1-Inputs!$B$61*Inputs!$B$69/(2*(1-Inputs!$B$70))))</f>
        <v>0</v>
      </c>
    </row>
    <row r="271" customFormat="false" ht="15" hidden="false" customHeight="false" outlineLevel="0" collapsed="false">
      <c r="A271" s="10" t="s">
        <v>549</v>
      </c>
      <c r="B271" s="47" t="n">
        <f aca="false">B270/(1-Inputs!$B$70)</f>
        <v>0</v>
      </c>
      <c r="C271" s="47" t="n">
        <f aca="false">C270/(1-Inputs!$B$70)</f>
        <v>0</v>
      </c>
      <c r="D271" s="47" t="n">
        <f aca="false">D270/(1-Inputs!$B$70)</f>
        <v>0</v>
      </c>
      <c r="E271" s="47" t="n">
        <f aca="false">E270/(1-Inputs!$B$70)</f>
        <v>0</v>
      </c>
      <c r="F271" s="47" t="n">
        <f aca="false">F270/(1-Inputs!$B$70)</f>
        <v>0</v>
      </c>
    </row>
    <row r="272" customFormat="false" ht="15" hidden="false" customHeight="false" outlineLevel="0" collapsed="false">
      <c r="A272" s="10" t="s">
        <v>550</v>
      </c>
      <c r="B272" s="47" t="n">
        <f aca="false">B271*Inputs!$B$69</f>
        <v>0</v>
      </c>
      <c r="C272" s="47" t="n">
        <f aca="false">C271*Inputs!$B$69</f>
        <v>0</v>
      </c>
      <c r="D272" s="47" t="n">
        <f aca="false">D271*Inputs!$B$69</f>
        <v>0</v>
      </c>
      <c r="E272" s="47" t="n">
        <f aca="false">E271*Inputs!$B$69</f>
        <v>0</v>
      </c>
      <c r="F272" s="47" t="n">
        <f aca="false">F271*Inputs!$B$69</f>
        <v>0</v>
      </c>
    </row>
    <row r="273" customFormat="false" ht="15" hidden="false" customHeight="false" outlineLevel="0" collapsed="false">
      <c r="A273" s="10" t="s">
        <v>551</v>
      </c>
      <c r="B273" s="47" t="n">
        <f aca="false">B271-B272</f>
        <v>0</v>
      </c>
      <c r="C273" s="47" t="n">
        <f aca="false">C271-C272</f>
        <v>0</v>
      </c>
      <c r="D273" s="47" t="n">
        <f aca="false">D271-D272</f>
        <v>0</v>
      </c>
      <c r="E273" s="47" t="n">
        <f aca="false">E271-E272</f>
        <v>0</v>
      </c>
      <c r="F273" s="47" t="n">
        <f aca="false">F271-F272</f>
        <v>0</v>
      </c>
    </row>
    <row r="274" customFormat="false" ht="15" hidden="false" customHeight="false" outlineLevel="0" collapsed="false">
      <c r="A274" s="10" t="s">
        <v>552</v>
      </c>
      <c r="B274" s="47" t="n">
        <f aca="false">B271-B270</f>
        <v>0</v>
      </c>
      <c r="C274" s="47" t="n">
        <f aca="false">C271-C270</f>
        <v>0</v>
      </c>
      <c r="D274" s="47" t="n">
        <f aca="false">D271-D270</f>
        <v>0</v>
      </c>
      <c r="E274" s="47" t="n">
        <f aca="false">E271-E270</f>
        <v>0</v>
      </c>
      <c r="F274" s="47" t="n">
        <f aca="false">F271-F270</f>
        <v>0</v>
      </c>
    </row>
    <row r="275" customFormat="false" ht="15" hidden="false" customHeight="false" outlineLevel="0" collapsed="false">
      <c r="A275" s="10" t="s">
        <v>553</v>
      </c>
      <c r="B275" s="47" t="n">
        <f aca="false">Inputs!$B$60/4*(B266+B277)/2</f>
        <v>0.436723894472362</v>
      </c>
      <c r="C275" s="47" t="n">
        <f aca="false">Inputs!$B$60*(C266+C277)/2</f>
        <v>1.71162160385602</v>
      </c>
      <c r="D275" s="47" t="n">
        <f aca="false">Inputs!$B$60*(D266+D277)/2</f>
        <v>1.84633375320851</v>
      </c>
      <c r="E275" s="47" t="n">
        <f aca="false">Inputs!$B$60*(E266+E277)/2</f>
        <v>2.11447177497869</v>
      </c>
      <c r="F275" s="47" t="n">
        <f aca="false">Inputs!$B$60*(F266+F277)/2</f>
        <v>2.51752741358938</v>
      </c>
    </row>
    <row r="276" customFormat="false" ht="15" hidden="false" customHeight="false" outlineLevel="0" collapsed="false">
      <c r="A276" s="10" t="s">
        <v>554</v>
      </c>
      <c r="B276" s="47" t="n">
        <f aca="false">Inputs!$B$61/4*(B267-B268/2+B272/2)</f>
        <v>0.142845</v>
      </c>
      <c r="C276" s="47" t="n">
        <f aca="false">Inputs!$B$61*(C267-C268/2+C272/2)</f>
        <v>0.57138</v>
      </c>
      <c r="D276" s="47" t="n">
        <f aca="false">Inputs!$B$61*(D267-D268/2+D272/2)</f>
        <v>0.57138</v>
      </c>
      <c r="E276" s="47" t="n">
        <f aca="false">Inputs!$B$61*(E267-E268/2+E272/2)</f>
        <v>0.57138</v>
      </c>
      <c r="F276" s="47" t="n">
        <f aca="false">Inputs!$B$61*(F267-F268/2+F272/2)</f>
        <v>0.57138</v>
      </c>
    </row>
    <row r="277" customFormat="false" ht="15" hidden="false" customHeight="false" outlineLevel="0" collapsed="false">
      <c r="A277" s="13" t="s">
        <v>555</v>
      </c>
      <c r="B277" s="18" t="n">
        <f aca="false">IF(B270&gt;0,Inputs!$B$67,B269)</f>
        <v>41.8977788944724</v>
      </c>
      <c r="C277" s="18" t="n">
        <f aca="false">IF(C270&gt;0,Inputs!$B$67,C269)</f>
        <v>43.6833012983284</v>
      </c>
      <c r="D277" s="18" t="n">
        <f aca="false">IF(D270&gt;0,Inputs!$B$67,D269)</f>
        <v>48.6333863620969</v>
      </c>
      <c r="E277" s="18" t="n">
        <f aca="false">IF(E270&gt;0,Inputs!$B$67,E269)</f>
        <v>57.0902023868378</v>
      </c>
      <c r="F277" s="18" t="n">
        <f aca="false">IF(F270&gt;0,Inputs!$B$67,F269)</f>
        <v>68.7861682926313</v>
      </c>
    </row>
    <row r="278" customFormat="false" ht="15" hidden="false" customHeight="false" outlineLevel="0" collapsed="false">
      <c r="A278" s="10" t="s">
        <v>556</v>
      </c>
      <c r="B278" s="47" t="n">
        <f aca="false">B267-B268+B272</f>
        <v>9.523</v>
      </c>
      <c r="C278" s="47" t="n">
        <f aca="false">C267-C268+C272</f>
        <v>9.523</v>
      </c>
      <c r="D278" s="47" t="n">
        <f aca="false">D267-D268+D272</f>
        <v>9.523</v>
      </c>
      <c r="E278" s="47" t="n">
        <f aca="false">E267-E268+E272</f>
        <v>9.523</v>
      </c>
      <c r="F278" s="47" t="n">
        <f aca="false">F267-F268+F272</f>
        <v>9.523</v>
      </c>
    </row>
    <row r="279" customFormat="false" ht="15" hidden="false" customHeight="false" outlineLevel="0" collapsed="false">
      <c r="A279" s="13" t="s">
        <v>557</v>
      </c>
      <c r="B279" s="18" t="n">
        <f aca="false">B277-B278</f>
        <v>32.3747788944724</v>
      </c>
      <c r="C279" s="18" t="n">
        <f aca="false">C277-C278</f>
        <v>34.1603012983284</v>
      </c>
      <c r="D279" s="18" t="n">
        <f aca="false">D277-D278</f>
        <v>39.1103863620969</v>
      </c>
      <c r="E279" s="18" t="n">
        <f aca="false">E277-E278</f>
        <v>47.5672023868378</v>
      </c>
      <c r="F279" s="18" t="n">
        <f aca="false">F277-F278</f>
        <v>59.2631682926313</v>
      </c>
    </row>
    <row r="280" customFormat="false" ht="15" hidden="false" customHeight="false" outlineLevel="0" collapsed="false">
      <c r="A280" s="10" t="s">
        <v>558</v>
      </c>
      <c r="B280" s="33" t="n">
        <f aca="false">ROUND(B266+B265-B268+B275-B276+B270-B277,6)</f>
        <v>0</v>
      </c>
      <c r="C280" s="33" t="n">
        <f aca="false">ROUND(C266+C265-C268+C275-C276+C270-C277,6)</f>
        <v>0</v>
      </c>
      <c r="D280" s="33" t="n">
        <f aca="false">ROUND(D266+D265-D268+D275-D276+D270-D277,6)</f>
        <v>0</v>
      </c>
      <c r="E280" s="33" t="n">
        <f aca="false">ROUND(E266+E265-E268+E275-E276+E270-E277,6)</f>
        <v>0</v>
      </c>
      <c r="F280" s="33" t="n">
        <f aca="false">ROUND(F266+F265-F268+F275-F276+F270-F277,6)</f>
        <v>0</v>
      </c>
    </row>
    <row r="281" customFormat="false" ht="15" hidden="false" customHeight="false" outlineLevel="0" collapsed="false">
      <c r="A281" s="10" t="s">
        <v>559</v>
      </c>
      <c r="B281" s="47" t="n">
        <f aca="false">B271</f>
        <v>0</v>
      </c>
      <c r="C281" s="47" t="n">
        <f aca="false">B281+C271</f>
        <v>0</v>
      </c>
      <c r="D281" s="47" t="n">
        <f aca="false">C281+D271</f>
        <v>0</v>
      </c>
      <c r="E281" s="47" t="n">
        <f aca="false">D281+E271</f>
        <v>0</v>
      </c>
      <c r="F281" s="47" t="n">
        <f aca="false">E281+F271</f>
        <v>0</v>
      </c>
    </row>
    <row r="282" customFormat="false" ht="15" hidden="false" customHeight="false" outlineLevel="0" collapsed="false">
      <c r="A282" s="10" t="s">
        <v>560</v>
      </c>
      <c r="B282" s="49" t="str">
        <f aca="false">IF(B281&gt;Inputs!$B$73,"UNFUNDED: above limit",IF(B271&gt;0,"Raising","OK"))</f>
        <v>OK</v>
      </c>
      <c r="C282" s="49" t="str">
        <f aca="false">IF(C281&gt;Inputs!$B$73,"UNFUNDED: above limit",IF(C271&gt;0,"Raising","OK"))</f>
        <v>OK</v>
      </c>
      <c r="D282" s="49" t="str">
        <f aca="false">IF(D281&gt;Inputs!$B$73,"UNFUNDED: above limit",IF(D271&gt;0,"Raising","OK"))</f>
        <v>OK</v>
      </c>
      <c r="E282" s="49" t="str">
        <f aca="false">IF(E281&gt;Inputs!$B$73,"UNFUNDED: above limit",IF(E271&gt;0,"Raising","OK"))</f>
        <v>OK</v>
      </c>
      <c r="F282" s="49" t="str">
        <f aca="false">IF(F281&gt;Inputs!$B$73,"UNFUNDED: above limit",IF(F271&gt;0,"Raising","OK"))</f>
        <v>OK</v>
      </c>
    </row>
    <row r="283" customFormat="false" ht="15" hidden="false" customHeight="false" outlineLevel="0" collapsed="false">
      <c r="A283" s="10" t="s">
        <v>561</v>
      </c>
      <c r="B283" s="47" t="n">
        <f aca="false">$F$240</f>
        <v>6.02419001635654</v>
      </c>
    </row>
    <row r="284" customFormat="false" ht="15" hidden="false" customHeight="false" outlineLevel="0" collapsed="false">
      <c r="A284" s="10" t="s">
        <v>562</v>
      </c>
      <c r="B284" s="19" t="n">
        <f aca="false">IF(Inputs!$B$8=1,Inputs!$B$79,IFERROR($F$259/$F$240,0))</f>
        <v>0.2416</v>
      </c>
    </row>
    <row r="285" customFormat="false" ht="15" hidden="false" customHeight="false" outlineLevel="0" collapsed="false">
      <c r="A285" s="10" t="s">
        <v>563</v>
      </c>
      <c r="B285" s="47" t="n">
        <f aca="false">$B$283*(1-$B$284)</f>
        <v>4.5687457084048</v>
      </c>
    </row>
    <row r="286" customFormat="false" ht="15" hidden="false" customHeight="false" outlineLevel="0" collapsed="false">
      <c r="A286" s="10" t="s">
        <v>564</v>
      </c>
      <c r="B286" s="50" t="n">
        <f aca="false">Inputs!$E$152</f>
        <v>20</v>
      </c>
    </row>
    <row r="287" customFormat="false" ht="15" hidden="false" customHeight="false" outlineLevel="0" collapsed="false">
      <c r="A287" s="10" t="s">
        <v>565</v>
      </c>
      <c r="B287" s="47" t="n">
        <f aca="false">$B$285*$B$286*$F$527</f>
        <v>60.1914862223656</v>
      </c>
    </row>
    <row r="288" customFormat="false" ht="15" hidden="false" customHeight="false" outlineLevel="0" collapsed="false">
      <c r="A288" s="10" t="s">
        <v>566</v>
      </c>
      <c r="B288" s="47" t="n">
        <f aca="false">SUMPRODUCT($C$264:$F$264,$C$527:$F$527)</f>
        <v>0.900250551860694</v>
      </c>
    </row>
    <row r="289" customFormat="false" ht="15" hidden="false" customHeight="false" outlineLevel="0" collapsed="false">
      <c r="A289" s="10" t="s">
        <v>567</v>
      </c>
      <c r="B289" s="18" t="n">
        <f aca="false">$B$287+$B$288</f>
        <v>61.0917367742263</v>
      </c>
    </row>
    <row r="290" customFormat="false" ht="15" hidden="false" customHeight="false" outlineLevel="0" collapsed="false">
      <c r="A290" s="10" t="s">
        <v>568</v>
      </c>
      <c r="B290" s="47" t="n">
        <f aca="false">$B$285+$F$239-$F$242-$F$263</f>
        <v>4.36952888777946</v>
      </c>
    </row>
    <row r="291" customFormat="false" ht="15" hidden="false" customHeight="false" outlineLevel="0" collapsed="false">
      <c r="A291" s="10" t="s">
        <v>569</v>
      </c>
      <c r="B291" s="50" t="n">
        <f aca="false">Inputs!$E$153</f>
        <v>16</v>
      </c>
    </row>
    <row r="292" customFormat="false" ht="15" hidden="false" customHeight="false" outlineLevel="0" collapsed="false">
      <c r="A292" s="10" t="s">
        <v>570</v>
      </c>
      <c r="B292" s="47" t="n">
        <f aca="false">$B$290*$B$291*$F$527</f>
        <v>46.053504332827</v>
      </c>
    </row>
    <row r="293" customFormat="false" ht="15" hidden="false" customHeight="false" outlineLevel="0" collapsed="false">
      <c r="A293" s="10" t="s">
        <v>571</v>
      </c>
      <c r="B293" s="18" t="n">
        <f aca="false">$B$288+$B$292</f>
        <v>46.9537548846877</v>
      </c>
    </row>
    <row r="294" customFormat="false" ht="15" hidden="false" customHeight="false" outlineLevel="0" collapsed="false">
      <c r="A294" s="13" t="s">
        <v>572</v>
      </c>
      <c r="B294" s="18" t="n">
        <f aca="false">$B$289*Inputs!$B$7+$B$293*(1-Inputs!$B$7)</f>
        <v>54.022745829457</v>
      </c>
    </row>
    <row r="295" customFormat="false" ht="15" hidden="false" customHeight="false" outlineLevel="0" collapsed="false">
      <c r="A295" s="10" t="s">
        <v>573</v>
      </c>
      <c r="B295" s="47" t="n">
        <f aca="false">MAX(0,$F$245)</f>
        <v>5.90465992398134</v>
      </c>
      <c r="H295" s="51" t="n">
        <v>1</v>
      </c>
      <c r="I295" s="51" t="n">
        <v>2</v>
      </c>
      <c r="J295" s="51" t="n">
        <v>3</v>
      </c>
      <c r="K295" s="51" t="n">
        <v>4</v>
      </c>
      <c r="L295" s="51" t="n">
        <v>5</v>
      </c>
      <c r="M295" s="51" t="n">
        <v>6</v>
      </c>
      <c r="N295" s="51" t="n">
        <v>7</v>
      </c>
      <c r="O295" s="51" t="n">
        <v>8</v>
      </c>
      <c r="P295" s="51" t="n">
        <v>9</v>
      </c>
      <c r="Q295" s="51" t="n">
        <v>10</v>
      </c>
      <c r="R295" s="51" t="n">
        <v>11</v>
      </c>
      <c r="S295" s="51" t="n">
        <v>12</v>
      </c>
      <c r="T295" s="51" t="n">
        <v>13</v>
      </c>
      <c r="U295" s="51" t="n">
        <v>14</v>
      </c>
      <c r="V295" s="51" t="n">
        <v>15</v>
      </c>
      <c r="W295" s="51" t="n">
        <v>16</v>
      </c>
      <c r="X295" s="51" t="n">
        <v>17</v>
      </c>
      <c r="Y295" s="51" t="n">
        <v>18</v>
      </c>
      <c r="Z295" s="51" t="n">
        <v>19</v>
      </c>
      <c r="AA295" s="51" t="n">
        <v>20</v>
      </c>
      <c r="AB295" s="51" t="n">
        <v>21</v>
      </c>
      <c r="AC295" s="51" t="n">
        <v>22</v>
      </c>
      <c r="AD295" s="51" t="n">
        <v>23</v>
      </c>
      <c r="AE295" s="51" t="n">
        <v>24</v>
      </c>
      <c r="AF295" s="51" t="n">
        <v>25</v>
      </c>
      <c r="AG295" s="51" t="n">
        <v>26</v>
      </c>
      <c r="AH295" s="51" t="n">
        <v>27</v>
      </c>
      <c r="AI295" s="51" t="n">
        <v>28</v>
      </c>
      <c r="AJ295" s="51" t="n">
        <v>29</v>
      </c>
      <c r="AK295" s="51" t="n">
        <v>30</v>
      </c>
    </row>
    <row r="296" customFormat="false" ht="15" hidden="false" customHeight="false" outlineLevel="0" collapsed="false">
      <c r="A296" s="10" t="s">
        <v>574</v>
      </c>
      <c r="H296" s="25" t="n">
        <f aca="false">1/(1+Inputs!$B$6)^1</f>
        <v>0.900900900900901</v>
      </c>
      <c r="I296" s="25" t="n">
        <f aca="false">1/(1+Inputs!$B$6)^2</f>
        <v>0.811622433244055</v>
      </c>
      <c r="J296" s="25" t="n">
        <f aca="false">1/(1+Inputs!$B$6)^3</f>
        <v>0.73119138130095</v>
      </c>
      <c r="K296" s="25" t="n">
        <f aca="false">1/(1+Inputs!$B$6)^4</f>
        <v>0.658730974145</v>
      </c>
      <c r="L296" s="25" t="n">
        <f aca="false">1/(1+Inputs!$B$6)^5</f>
        <v>0.593451328058559</v>
      </c>
      <c r="M296" s="25" t="n">
        <f aca="false">1/(1+Inputs!$B$6)^6</f>
        <v>0.534640836088791</v>
      </c>
      <c r="N296" s="25" t="n">
        <f aca="false">1/(1+Inputs!$B$6)^7</f>
        <v>0.481658410890803</v>
      </c>
      <c r="O296" s="25" t="n">
        <f aca="false">1/(1+Inputs!$B$6)^8</f>
        <v>0.433926496298021</v>
      </c>
      <c r="P296" s="25" t="n">
        <f aca="false">1/(1+Inputs!$B$6)^9</f>
        <v>0.390924771439658</v>
      </c>
      <c r="Q296" s="25" t="n">
        <f aca="false">1/(1+Inputs!$B$6)^10</f>
        <v>0.352184478774467</v>
      </c>
      <c r="R296" s="25" t="n">
        <f aca="false">1/(1+Inputs!$B$6)^11</f>
        <v>0.317283314211231</v>
      </c>
      <c r="S296" s="25" t="n">
        <f aca="false">1/(1+Inputs!$B$6)^12</f>
        <v>0.285840823613722</v>
      </c>
      <c r="T296" s="25" t="n">
        <f aca="false">1/(1+Inputs!$B$6)^13</f>
        <v>0.257514255507858</v>
      </c>
      <c r="U296" s="25" t="n">
        <f aca="false">1/(1+Inputs!$B$6)^14</f>
        <v>0.231994824781854</v>
      </c>
      <c r="V296" s="25" t="n">
        <f aca="false">1/(1+Inputs!$B$6)^15</f>
        <v>0.209004346650319</v>
      </c>
      <c r="W296" s="25" t="n">
        <f aca="false">1/(1+Inputs!$B$6)^16</f>
        <v>0.188292204189476</v>
      </c>
      <c r="X296" s="25" t="n">
        <f aca="false">1/(1+Inputs!$B$6)^17</f>
        <v>0.169632616386915</v>
      </c>
      <c r="Y296" s="25" t="n">
        <f aca="false">1/(1+Inputs!$B$6)^18</f>
        <v>0.152822176925149</v>
      </c>
      <c r="Z296" s="25" t="n">
        <f aca="false">1/(1+Inputs!$B$6)^19</f>
        <v>0.137677636869504</v>
      </c>
      <c r="AA296" s="25" t="n">
        <f aca="false">1/(1+Inputs!$B$6)^20</f>
        <v>0.124033907089643</v>
      </c>
      <c r="AB296" s="25" t="n">
        <f aca="false">1/(1+Inputs!$B$6)^21</f>
        <v>0.111742258639318</v>
      </c>
      <c r="AC296" s="25" t="n">
        <f aca="false">1/(1+Inputs!$B$6)^22</f>
        <v>0.100668701476863</v>
      </c>
      <c r="AD296" s="25" t="n">
        <f aca="false">1/(1+Inputs!$B$6)^23</f>
        <v>0.0906925238530297</v>
      </c>
      <c r="AE296" s="25" t="n">
        <f aca="false">1/(1+Inputs!$B$6)^24</f>
        <v>0.0817049764441709</v>
      </c>
      <c r="AF296" s="25" t="n">
        <f aca="false">1/(1+Inputs!$B$6)^25</f>
        <v>0.0736080868866405</v>
      </c>
      <c r="AG296" s="25" t="n">
        <f aca="false">1/(1+Inputs!$B$6)^26</f>
        <v>0.0663135917897662</v>
      </c>
      <c r="AH296" s="25" t="n">
        <f aca="false">1/(1+Inputs!$B$6)^27</f>
        <v>0.0597419745853749</v>
      </c>
      <c r="AI296" s="25" t="n">
        <f aca="false">1/(1+Inputs!$B$6)^28</f>
        <v>0.053821598725563</v>
      </c>
      <c r="AJ296" s="25" t="n">
        <f aca="false">1/(1+Inputs!$B$6)^29</f>
        <v>0.0484879267797865</v>
      </c>
      <c r="AK296" s="25" t="n">
        <f aca="false">1/(1+Inputs!$B$6)^30</f>
        <v>0.0436828169187266</v>
      </c>
    </row>
    <row r="297" customFormat="false" ht="15" hidden="false" customHeight="false" outlineLevel="0" collapsed="false">
      <c r="A297" s="10" t="s">
        <v>575</v>
      </c>
      <c r="G297" s="47" t="n">
        <f aca="false">$F$248</f>
        <v>0</v>
      </c>
      <c r="H297" s="47" t="n">
        <f aca="false">G297</f>
        <v>0</v>
      </c>
      <c r="I297" s="47" t="n">
        <f aca="false">H297-H298</f>
        <v>0</v>
      </c>
      <c r="J297" s="47" t="n">
        <f aca="false">I297-I298</f>
        <v>0</v>
      </c>
      <c r="K297" s="47" t="n">
        <f aca="false">J297-J298</f>
        <v>0</v>
      </c>
      <c r="L297" s="47" t="n">
        <f aca="false">K297-K298</f>
        <v>0</v>
      </c>
      <c r="M297" s="47" t="n">
        <f aca="false">L297-L298</f>
        <v>0</v>
      </c>
      <c r="N297" s="47" t="n">
        <f aca="false">M297-M298</f>
        <v>0</v>
      </c>
      <c r="O297" s="47" t="n">
        <f aca="false">N297-N298</f>
        <v>0</v>
      </c>
      <c r="P297" s="47" t="n">
        <f aca="false">O297-O298</f>
        <v>0</v>
      </c>
      <c r="Q297" s="47" t="n">
        <f aca="false">P297-P298</f>
        <v>0</v>
      </c>
      <c r="R297" s="47" t="n">
        <f aca="false">Q297-Q298</f>
        <v>0</v>
      </c>
      <c r="S297" s="47" t="n">
        <f aca="false">R297-R298</f>
        <v>0</v>
      </c>
      <c r="T297" s="47" t="n">
        <f aca="false">S297-S298</f>
        <v>0</v>
      </c>
      <c r="U297" s="47" t="n">
        <f aca="false">T297-T298</f>
        <v>0</v>
      </c>
      <c r="V297" s="47" t="n">
        <f aca="false">U297-U298</f>
        <v>0</v>
      </c>
      <c r="W297" s="47" t="n">
        <f aca="false">V297-V298</f>
        <v>0</v>
      </c>
      <c r="X297" s="47" t="n">
        <f aca="false">W297-W298</f>
        <v>0</v>
      </c>
      <c r="Y297" s="47" t="n">
        <f aca="false">X297-X298</f>
        <v>0</v>
      </c>
      <c r="Z297" s="47" t="n">
        <f aca="false">Y297-Y298</f>
        <v>0</v>
      </c>
      <c r="AA297" s="47" t="n">
        <f aca="false">Z297-Z298</f>
        <v>0</v>
      </c>
      <c r="AB297" s="47" t="n">
        <f aca="false">AA297-AA298</f>
        <v>0</v>
      </c>
      <c r="AC297" s="47" t="n">
        <f aca="false">AB297-AB298</f>
        <v>0</v>
      </c>
      <c r="AD297" s="47" t="n">
        <f aca="false">AC297-AC298</f>
        <v>0</v>
      </c>
      <c r="AE297" s="47" t="n">
        <f aca="false">AD297-AD298</f>
        <v>0</v>
      </c>
      <c r="AF297" s="47" t="n">
        <f aca="false">AE297-AE298</f>
        <v>0</v>
      </c>
      <c r="AG297" s="47" t="n">
        <f aca="false">AF297-AF298</f>
        <v>0</v>
      </c>
      <c r="AH297" s="47" t="n">
        <f aca="false">AG297-AG298</f>
        <v>0</v>
      </c>
      <c r="AI297" s="47" t="n">
        <f aca="false">AH297-AH298</f>
        <v>0</v>
      </c>
      <c r="AJ297" s="47" t="n">
        <f aca="false">AI297-AI298</f>
        <v>0</v>
      </c>
      <c r="AK297" s="47" t="n">
        <f aca="false">AJ297-AJ298</f>
        <v>0</v>
      </c>
    </row>
    <row r="298" customFormat="false" ht="15" hidden="false" customHeight="false" outlineLevel="0" collapsed="false">
      <c r="A298" s="10" t="s">
        <v>576</v>
      </c>
      <c r="H298" s="47" t="n">
        <f aca="false">IF(1&lt;=Inputs!$B$44,MIN(H297,$B$295,1E+099),0)</f>
        <v>0</v>
      </c>
      <c r="I298" s="47" t="n">
        <f aca="false">IF(2&lt;=Inputs!$B$44,MIN(I297,$B$295,1E+099),0)</f>
        <v>0</v>
      </c>
      <c r="J298" s="47" t="n">
        <f aca="false">IF(3&lt;=Inputs!$B$44,MIN(J297,$B$295,1E+099),0)</f>
        <v>0</v>
      </c>
      <c r="K298" s="47" t="n">
        <f aca="false">IF(4&lt;=Inputs!$B$44,MIN(K297,$B$295,1E+099),0)</f>
        <v>0</v>
      </c>
      <c r="L298" s="47" t="n">
        <f aca="false">IF(5&lt;=Inputs!$B$44,MIN(L297,$B$295,1E+099),0)</f>
        <v>0</v>
      </c>
      <c r="M298" s="47" t="n">
        <f aca="false">IF(6&lt;=Inputs!$B$44,MIN(M297,$B$295,1E+099),0)</f>
        <v>0</v>
      </c>
      <c r="N298" s="47" t="n">
        <f aca="false">IF(7&lt;=Inputs!$B$44,MIN(N297,$B$295,1E+099),0)</f>
        <v>0</v>
      </c>
      <c r="O298" s="47" t="n">
        <f aca="false">IF(8&lt;=Inputs!$B$44,MIN(O297,$B$295,1E+099),0)</f>
        <v>0</v>
      </c>
      <c r="P298" s="47" t="n">
        <f aca="false">IF(9&lt;=Inputs!$B$44,MIN(P297,$B$295,1E+099),0)</f>
        <v>0</v>
      </c>
      <c r="Q298" s="47" t="n">
        <f aca="false">IF(10&lt;=Inputs!$B$44,MIN(Q297,$B$295,1E+099),0)</f>
        <v>0</v>
      </c>
      <c r="R298" s="47" t="n">
        <f aca="false">IF(11&lt;=Inputs!$B$44,MIN(R297,$B$295,1E+099),0)</f>
        <v>0</v>
      </c>
      <c r="S298" s="47" t="n">
        <f aca="false">IF(12&lt;=Inputs!$B$44,MIN(S297,$B$295,1E+099),0)</f>
        <v>0</v>
      </c>
      <c r="T298" s="47" t="n">
        <f aca="false">IF(13&lt;=Inputs!$B$44,MIN(T297,$B$295,1E+099),0)</f>
        <v>0</v>
      </c>
      <c r="U298" s="47" t="n">
        <f aca="false">IF(14&lt;=Inputs!$B$44,MIN(U297,$B$295,1E+099),0)</f>
        <v>0</v>
      </c>
      <c r="V298" s="47" t="n">
        <f aca="false">IF(15&lt;=Inputs!$B$44,MIN(V297,$B$295,1E+099),0)</f>
        <v>0</v>
      </c>
      <c r="W298" s="47" t="n">
        <f aca="false">IF(16&lt;=Inputs!$B$44,MIN(W297,$B$295,1E+099),0)</f>
        <v>0</v>
      </c>
      <c r="X298" s="47" t="n">
        <f aca="false">IF(17&lt;=Inputs!$B$44,MIN(X297,$B$295,1E+099),0)</f>
        <v>0</v>
      </c>
      <c r="Y298" s="47" t="n">
        <f aca="false">IF(18&lt;=Inputs!$B$44,MIN(Y297,$B$295,1E+099),0)</f>
        <v>0</v>
      </c>
      <c r="Z298" s="47" t="n">
        <f aca="false">IF(19&lt;=Inputs!$B$44,MIN(Z297,$B$295,1E+099),0)</f>
        <v>0</v>
      </c>
      <c r="AA298" s="47" t="n">
        <f aca="false">IF(20&lt;=Inputs!$B$44,MIN(AA297,$B$295,1E+099),0)</f>
        <v>0</v>
      </c>
      <c r="AB298" s="47" t="n">
        <f aca="false">IF(21&lt;=Inputs!$B$44,MIN(AB297,$B$295,1E+099),0)</f>
        <v>0</v>
      </c>
      <c r="AC298" s="47" t="n">
        <f aca="false">IF(22&lt;=Inputs!$B$44,MIN(AC297,$B$295,1E+099),0)</f>
        <v>0</v>
      </c>
      <c r="AD298" s="47" t="n">
        <f aca="false">IF(23&lt;=Inputs!$B$44,MIN(AD297,$B$295,1E+099),0)</f>
        <v>0</v>
      </c>
      <c r="AE298" s="47" t="n">
        <f aca="false">IF(24&lt;=Inputs!$B$44,MIN(AE297,$B$295,1E+099),0)</f>
        <v>0</v>
      </c>
      <c r="AF298" s="47" t="n">
        <f aca="false">IF(25&lt;=Inputs!$B$44,MIN(AF297,$B$295,1E+099),0)</f>
        <v>0</v>
      </c>
      <c r="AG298" s="47" t="n">
        <f aca="false">IF(26&lt;=Inputs!$B$44,MIN(AG297,$B$295,1E+099),0)</f>
        <v>0</v>
      </c>
      <c r="AH298" s="47" t="n">
        <f aca="false">IF(27&lt;=Inputs!$B$44,MIN(AH297,$B$295,1E+099),0)</f>
        <v>0</v>
      </c>
      <c r="AI298" s="47" t="n">
        <f aca="false">IF(28&lt;=Inputs!$B$44,MIN(AI297,$B$295,1E+099),0)</f>
        <v>0</v>
      </c>
      <c r="AJ298" s="47" t="n">
        <f aca="false">IF(29&lt;=Inputs!$B$44,MIN(AJ297,$B$295,1E+099),0)</f>
        <v>0</v>
      </c>
      <c r="AK298" s="47" t="n">
        <f aca="false">IF(30&lt;=Inputs!$B$44,MIN(AK297,$B$295,1E+099),0)</f>
        <v>0</v>
      </c>
    </row>
    <row r="299" customFormat="false" ht="15" hidden="false" customHeight="false" outlineLevel="0" collapsed="false">
      <c r="A299" s="10" t="s">
        <v>577</v>
      </c>
      <c r="G299" s="47" t="n">
        <f aca="false">$F$249</f>
        <v>0</v>
      </c>
      <c r="H299" s="47" t="n">
        <f aca="false">G299</f>
        <v>0</v>
      </c>
      <c r="I299" s="47" t="n">
        <f aca="false">H299-H300</f>
        <v>0</v>
      </c>
      <c r="J299" s="47" t="n">
        <f aca="false">I299-I300</f>
        <v>0</v>
      </c>
      <c r="K299" s="47" t="n">
        <f aca="false">J299-J300</f>
        <v>0</v>
      </c>
      <c r="L299" s="47" t="n">
        <f aca="false">K299-K300</f>
        <v>0</v>
      </c>
      <c r="M299" s="47" t="n">
        <f aca="false">L299-L300</f>
        <v>0</v>
      </c>
      <c r="N299" s="47" t="n">
        <f aca="false">M299-M300</f>
        <v>0</v>
      </c>
      <c r="O299" s="47" t="n">
        <f aca="false">N299-N300</f>
        <v>0</v>
      </c>
      <c r="P299" s="47" t="n">
        <f aca="false">O299-O300</f>
        <v>0</v>
      </c>
      <c r="Q299" s="47" t="n">
        <f aca="false">P299-P300</f>
        <v>0</v>
      </c>
      <c r="R299" s="47" t="n">
        <f aca="false">Q299-Q300</f>
        <v>0</v>
      </c>
      <c r="S299" s="47" t="n">
        <f aca="false">R299-R300</f>
        <v>0</v>
      </c>
      <c r="T299" s="47" t="n">
        <f aca="false">S299-S300</f>
        <v>0</v>
      </c>
      <c r="U299" s="47" t="n">
        <f aca="false">T299-T300</f>
        <v>0</v>
      </c>
      <c r="V299" s="47" t="n">
        <f aca="false">U299-U300</f>
        <v>0</v>
      </c>
      <c r="W299" s="47" t="n">
        <f aca="false">V299-V300</f>
        <v>0</v>
      </c>
      <c r="X299" s="47" t="n">
        <f aca="false">W299-W300</f>
        <v>0</v>
      </c>
      <c r="Y299" s="47" t="n">
        <f aca="false">X299-X300</f>
        <v>0</v>
      </c>
      <c r="Z299" s="47" t="n">
        <f aca="false">Y299-Y300</f>
        <v>0</v>
      </c>
      <c r="AA299" s="47" t="n">
        <f aca="false">Z299-Z300</f>
        <v>0</v>
      </c>
      <c r="AB299" s="47" t="n">
        <f aca="false">AA299-AA300</f>
        <v>0</v>
      </c>
      <c r="AC299" s="47" t="n">
        <f aca="false">AB299-AB300</f>
        <v>0</v>
      </c>
      <c r="AD299" s="47" t="n">
        <f aca="false">AC299-AC300</f>
        <v>0</v>
      </c>
      <c r="AE299" s="47" t="n">
        <f aca="false">AD299-AD300</f>
        <v>0</v>
      </c>
      <c r="AF299" s="47" t="n">
        <f aca="false">AE299-AE300</f>
        <v>0</v>
      </c>
      <c r="AG299" s="47" t="n">
        <f aca="false">AF299-AF300</f>
        <v>0</v>
      </c>
      <c r="AH299" s="47" t="n">
        <f aca="false">AG299-AG300</f>
        <v>0</v>
      </c>
      <c r="AI299" s="47" t="n">
        <f aca="false">AH299-AH300</f>
        <v>0</v>
      </c>
      <c r="AJ299" s="47" t="n">
        <f aca="false">AI299-AI300</f>
        <v>0</v>
      </c>
      <c r="AK299" s="47" t="n">
        <f aca="false">AJ299-AJ300</f>
        <v>0</v>
      </c>
    </row>
    <row r="300" customFormat="false" ht="15" hidden="false" customHeight="false" outlineLevel="0" collapsed="false">
      <c r="A300" s="10" t="s">
        <v>576</v>
      </c>
      <c r="H300" s="47" t="n">
        <f aca="false">IF(1&lt;=Inputs!$B$44,MIN(H299,$B$295-H298),0)</f>
        <v>0</v>
      </c>
      <c r="I300" s="47" t="n">
        <f aca="false">IF(2&lt;=Inputs!$B$44,MIN(I299,$B$295-I298),0)</f>
        <v>0</v>
      </c>
      <c r="J300" s="47" t="n">
        <f aca="false">IF(3&lt;=Inputs!$B$44,MIN(J299,$B$295-J298),0)</f>
        <v>0</v>
      </c>
      <c r="K300" s="47" t="n">
        <f aca="false">IF(4&lt;=Inputs!$B$44,MIN(K299,$B$295-K298),0)</f>
        <v>0</v>
      </c>
      <c r="L300" s="47" t="n">
        <f aca="false">IF(5&lt;=Inputs!$B$44,MIN(L299,$B$295-L298),0)</f>
        <v>0</v>
      </c>
      <c r="M300" s="47" t="n">
        <f aca="false">IF(6&lt;=Inputs!$B$44,MIN(M299,$B$295-M298),0)</f>
        <v>0</v>
      </c>
      <c r="N300" s="47" t="n">
        <f aca="false">IF(7&lt;=Inputs!$B$44,MIN(N299,$B$295-N298),0)</f>
        <v>0</v>
      </c>
      <c r="O300" s="47" t="n">
        <f aca="false">IF(8&lt;=Inputs!$B$44,MIN(O299,$B$295-O298),0)</f>
        <v>0</v>
      </c>
      <c r="P300" s="47" t="n">
        <f aca="false">IF(9&lt;=Inputs!$B$44,MIN(P299,$B$295-P298),0)</f>
        <v>0</v>
      </c>
      <c r="Q300" s="47" t="n">
        <f aca="false">IF(10&lt;=Inputs!$B$44,MIN(Q299,$B$295-Q298),0)</f>
        <v>0</v>
      </c>
      <c r="R300" s="47" t="n">
        <f aca="false">IF(11&lt;=Inputs!$B$44,MIN(R299,$B$295-R298),0)</f>
        <v>0</v>
      </c>
      <c r="S300" s="47" t="n">
        <f aca="false">IF(12&lt;=Inputs!$B$44,MIN(S299,$B$295-S298),0)</f>
        <v>0</v>
      </c>
      <c r="T300" s="47" t="n">
        <f aca="false">IF(13&lt;=Inputs!$B$44,MIN(T299,$B$295-T298),0)</f>
        <v>0</v>
      </c>
      <c r="U300" s="47" t="n">
        <f aca="false">IF(14&lt;=Inputs!$B$44,MIN(U299,$B$295-U298),0)</f>
        <v>0</v>
      </c>
      <c r="V300" s="47" t="n">
        <f aca="false">IF(15&lt;=Inputs!$B$44,MIN(V299,$B$295-V298),0)</f>
        <v>0</v>
      </c>
      <c r="W300" s="47" t="n">
        <f aca="false">IF(16&lt;=Inputs!$B$44,MIN(W299,$B$295-W298),0)</f>
        <v>0</v>
      </c>
      <c r="X300" s="47" t="n">
        <f aca="false">IF(17&lt;=Inputs!$B$44,MIN(X299,$B$295-X298),0)</f>
        <v>0</v>
      </c>
      <c r="Y300" s="47" t="n">
        <f aca="false">IF(18&lt;=Inputs!$B$44,MIN(Y299,$B$295-Y298),0)</f>
        <v>0</v>
      </c>
      <c r="Z300" s="47" t="n">
        <f aca="false">IF(19&lt;=Inputs!$B$44,MIN(Z299,$B$295-Z298),0)</f>
        <v>0</v>
      </c>
      <c r="AA300" s="47" t="n">
        <f aca="false">IF(20&lt;=Inputs!$B$44,MIN(AA299,$B$295-AA298),0)</f>
        <v>0</v>
      </c>
      <c r="AB300" s="47" t="n">
        <f aca="false">IF(21&lt;=Inputs!$B$44,MIN(AB299,$B$295-AB298),0)</f>
        <v>0</v>
      </c>
      <c r="AC300" s="47" t="n">
        <f aca="false">IF(22&lt;=Inputs!$B$44,MIN(AC299,$B$295-AC298),0)</f>
        <v>0</v>
      </c>
      <c r="AD300" s="47" t="n">
        <f aca="false">IF(23&lt;=Inputs!$B$44,MIN(AD299,$B$295-AD298),0)</f>
        <v>0</v>
      </c>
      <c r="AE300" s="47" t="n">
        <f aca="false">IF(24&lt;=Inputs!$B$44,MIN(AE299,$B$295-AE298),0)</f>
        <v>0</v>
      </c>
      <c r="AF300" s="47" t="n">
        <f aca="false">IF(25&lt;=Inputs!$B$44,MIN(AF299,$B$295-AF298),0)</f>
        <v>0</v>
      </c>
      <c r="AG300" s="47" t="n">
        <f aca="false">IF(26&lt;=Inputs!$B$44,MIN(AG299,$B$295-AG298),0)</f>
        <v>0</v>
      </c>
      <c r="AH300" s="47" t="n">
        <f aca="false">IF(27&lt;=Inputs!$B$44,MIN(AH299,$B$295-AH298),0)</f>
        <v>0</v>
      </c>
      <c r="AI300" s="47" t="n">
        <f aca="false">IF(28&lt;=Inputs!$B$44,MIN(AI299,$B$295-AI298),0)</f>
        <v>0</v>
      </c>
      <c r="AJ300" s="47" t="n">
        <f aca="false">IF(29&lt;=Inputs!$B$44,MIN(AJ299,$B$295-AJ298),0)</f>
        <v>0</v>
      </c>
      <c r="AK300" s="47" t="n">
        <f aca="false">IF(30&lt;=Inputs!$B$44,MIN(AK299,$B$295-AK298),0)</f>
        <v>0</v>
      </c>
    </row>
    <row r="301" customFormat="false" ht="15" hidden="false" customHeight="false" outlineLevel="0" collapsed="false">
      <c r="A301" s="10" t="s">
        <v>578</v>
      </c>
      <c r="H301" s="47" t="n">
        <f aca="false">($B$295-H298-H300)*Inputs!$B$34</f>
        <v>0.236186396959253</v>
      </c>
      <c r="I301" s="47" t="n">
        <f aca="false">($B$295-I298-I300)*Inputs!$B$34</f>
        <v>0.236186396959253</v>
      </c>
      <c r="J301" s="47" t="n">
        <f aca="false">($B$295-J298-J300)*Inputs!$B$34</f>
        <v>0.236186396959253</v>
      </c>
      <c r="K301" s="47" t="n">
        <f aca="false">($B$295-K298-K300)*Inputs!$B$34</f>
        <v>0.236186396959253</v>
      </c>
      <c r="L301" s="47" t="n">
        <f aca="false">($B$295-L298-L300)*Inputs!$B$34</f>
        <v>0.236186396959253</v>
      </c>
      <c r="M301" s="47" t="n">
        <f aca="false">($B$295-M298-M300)*Inputs!$B$34</f>
        <v>0.236186396959253</v>
      </c>
      <c r="N301" s="47" t="n">
        <f aca="false">($B$295-N298-N300)*Inputs!$B$34</f>
        <v>0.236186396959253</v>
      </c>
      <c r="O301" s="47" t="n">
        <f aca="false">($B$295-O298-O300)*Inputs!$B$34</f>
        <v>0.236186396959253</v>
      </c>
      <c r="P301" s="47" t="n">
        <f aca="false">($B$295-P298-P300)*Inputs!$B$34</f>
        <v>0.236186396959253</v>
      </c>
      <c r="Q301" s="47" t="n">
        <f aca="false">($B$295-Q298-Q300)*Inputs!$B$34</f>
        <v>0.236186396959253</v>
      </c>
      <c r="R301" s="47" t="n">
        <f aca="false">($B$295-R298-R300)*Inputs!$B$34</f>
        <v>0.236186396959253</v>
      </c>
      <c r="S301" s="47" t="n">
        <f aca="false">($B$295-S298-S300)*Inputs!$B$34</f>
        <v>0.236186396959253</v>
      </c>
      <c r="T301" s="47" t="n">
        <f aca="false">($B$295-T298-T300)*Inputs!$B$34</f>
        <v>0.236186396959253</v>
      </c>
      <c r="U301" s="47" t="n">
        <f aca="false">($B$295-U298-U300)*Inputs!$B$34</f>
        <v>0.236186396959253</v>
      </c>
      <c r="V301" s="47" t="n">
        <f aca="false">($B$295-V298-V300)*Inputs!$B$34</f>
        <v>0.236186396959253</v>
      </c>
      <c r="W301" s="47" t="n">
        <f aca="false">($B$295-W298-W300)*Inputs!$B$34</f>
        <v>0.236186396959253</v>
      </c>
      <c r="X301" s="47" t="n">
        <f aca="false">($B$295-X298-X300)*Inputs!$B$34</f>
        <v>0.236186396959253</v>
      </c>
      <c r="Y301" s="47" t="n">
        <f aca="false">($B$295-Y298-Y300)*Inputs!$B$34</f>
        <v>0.236186396959253</v>
      </c>
      <c r="Z301" s="47" t="n">
        <f aca="false">($B$295-Z298-Z300)*Inputs!$B$34</f>
        <v>0.236186396959253</v>
      </c>
      <c r="AA301" s="47" t="n">
        <f aca="false">($B$295-AA298-AA300)*Inputs!$B$34</f>
        <v>0.236186396959253</v>
      </c>
      <c r="AB301" s="47" t="n">
        <f aca="false">($B$295-AB298-AB300)*Inputs!$B$34</f>
        <v>0.236186396959253</v>
      </c>
      <c r="AC301" s="47" t="n">
        <f aca="false">($B$295-AC298-AC300)*Inputs!$B$34</f>
        <v>0.236186396959253</v>
      </c>
      <c r="AD301" s="47" t="n">
        <f aca="false">($B$295-AD298-AD300)*Inputs!$B$34</f>
        <v>0.236186396959253</v>
      </c>
      <c r="AE301" s="47" t="n">
        <f aca="false">($B$295-AE298-AE300)*Inputs!$B$34</f>
        <v>0.236186396959253</v>
      </c>
      <c r="AF301" s="47" t="n">
        <f aca="false">($B$295-AF298-AF300)*Inputs!$B$34</f>
        <v>0.236186396959253</v>
      </c>
      <c r="AG301" s="47" t="n">
        <f aca="false">($B$295-AG298-AG300)*Inputs!$B$34</f>
        <v>0.236186396959253</v>
      </c>
      <c r="AH301" s="47" t="n">
        <f aca="false">($B$295-AH298-AH300)*Inputs!$B$34</f>
        <v>0.236186396959253</v>
      </c>
      <c r="AI301" s="47" t="n">
        <f aca="false">($B$295-AI298-AI300)*Inputs!$B$34</f>
        <v>0.236186396959253</v>
      </c>
      <c r="AJ301" s="47" t="n">
        <f aca="false">($B$295-AJ298-AJ300)*Inputs!$B$34</f>
        <v>0.236186396959253</v>
      </c>
      <c r="AK301" s="47" t="n">
        <f aca="false">($B$295-AK298-AK300)*Inputs!$B$34</f>
        <v>0.236186396959253</v>
      </c>
    </row>
    <row r="302" customFormat="false" ht="15" hidden="false" customHeight="false" outlineLevel="0" collapsed="false">
      <c r="A302" s="10" t="s">
        <v>579</v>
      </c>
      <c r="H302" s="47" t="n">
        <f aca="false">$B$295-H301</f>
        <v>5.66847352702208</v>
      </c>
      <c r="I302" s="47" t="n">
        <f aca="false">$B$295-I301</f>
        <v>5.66847352702208</v>
      </c>
      <c r="J302" s="47" t="n">
        <f aca="false">$B$295-J301</f>
        <v>5.66847352702208</v>
      </c>
      <c r="K302" s="47" t="n">
        <f aca="false">$B$295-K301</f>
        <v>5.66847352702208</v>
      </c>
      <c r="L302" s="47" t="n">
        <f aca="false">$B$295-L301</f>
        <v>5.66847352702208</v>
      </c>
      <c r="M302" s="47" t="n">
        <f aca="false">$B$295-M301</f>
        <v>5.66847352702208</v>
      </c>
      <c r="N302" s="47" t="n">
        <f aca="false">$B$295-N301</f>
        <v>5.66847352702208</v>
      </c>
      <c r="O302" s="47" t="n">
        <f aca="false">$B$295-O301</f>
        <v>5.66847352702208</v>
      </c>
      <c r="P302" s="47" t="n">
        <f aca="false">$B$295-P301</f>
        <v>5.66847352702208</v>
      </c>
      <c r="Q302" s="47" t="n">
        <f aca="false">$B$295-Q301</f>
        <v>5.66847352702208</v>
      </c>
      <c r="R302" s="47" t="n">
        <f aca="false">$B$295-R301</f>
        <v>5.66847352702208</v>
      </c>
      <c r="S302" s="47" t="n">
        <f aca="false">$B$295-S301</f>
        <v>5.66847352702208</v>
      </c>
      <c r="T302" s="47" t="n">
        <f aca="false">$B$295-T301</f>
        <v>5.66847352702208</v>
      </c>
      <c r="U302" s="47" t="n">
        <f aca="false">$B$295-U301</f>
        <v>5.66847352702208</v>
      </c>
      <c r="V302" s="47" t="n">
        <f aca="false">$B$295-V301</f>
        <v>5.66847352702208</v>
      </c>
      <c r="W302" s="47" t="n">
        <f aca="false">$B$295-W301</f>
        <v>5.66847352702208</v>
      </c>
      <c r="X302" s="47" t="n">
        <f aca="false">$B$295-X301</f>
        <v>5.66847352702208</v>
      </c>
      <c r="Y302" s="47" t="n">
        <f aca="false">$B$295-Y301</f>
        <v>5.66847352702208</v>
      </c>
      <c r="Z302" s="47" t="n">
        <f aca="false">$B$295-Z301</f>
        <v>5.66847352702208</v>
      </c>
      <c r="AA302" s="47" t="n">
        <f aca="false">$B$295-AA301</f>
        <v>5.66847352702208</v>
      </c>
      <c r="AB302" s="47" t="n">
        <f aca="false">$B$295-AB301</f>
        <v>5.66847352702208</v>
      </c>
      <c r="AC302" s="47" t="n">
        <f aca="false">$B$295-AC301</f>
        <v>5.66847352702208</v>
      </c>
      <c r="AD302" s="47" t="n">
        <f aca="false">$B$295-AD301</f>
        <v>5.66847352702208</v>
      </c>
      <c r="AE302" s="47" t="n">
        <f aca="false">$B$295-AE301</f>
        <v>5.66847352702208</v>
      </c>
      <c r="AF302" s="47" t="n">
        <f aca="false">$B$295-AF301</f>
        <v>5.66847352702208</v>
      </c>
      <c r="AG302" s="47" t="n">
        <f aca="false">$B$295-AG301</f>
        <v>5.66847352702208</v>
      </c>
      <c r="AH302" s="47" t="n">
        <f aca="false">$B$295-AH301</f>
        <v>5.66847352702208</v>
      </c>
      <c r="AI302" s="47" t="n">
        <f aca="false">$B$295-AI301</f>
        <v>5.66847352702208</v>
      </c>
      <c r="AJ302" s="47" t="n">
        <f aca="false">$B$295-AJ301</f>
        <v>5.66847352702208</v>
      </c>
      <c r="AK302" s="47" t="n">
        <f aca="false">$B$295-AK301</f>
        <v>5.66847352702208</v>
      </c>
    </row>
    <row r="303" customFormat="false" ht="15" hidden="false" customHeight="false" outlineLevel="0" collapsed="false">
      <c r="A303" s="10" t="s">
        <v>580</v>
      </c>
      <c r="G303" s="47" t="n">
        <f aca="false">$F$254</f>
        <v>0</v>
      </c>
      <c r="H303" s="47" t="n">
        <f aca="false">G303</f>
        <v>0</v>
      </c>
      <c r="I303" s="47" t="n">
        <f aca="false">H303-H304</f>
        <v>0</v>
      </c>
      <c r="J303" s="47" t="n">
        <f aca="false">I303-I304</f>
        <v>0</v>
      </c>
      <c r="K303" s="47" t="n">
        <f aca="false">J303-J304</f>
        <v>0</v>
      </c>
      <c r="L303" s="47" t="n">
        <f aca="false">K303-K304</f>
        <v>0</v>
      </c>
      <c r="M303" s="47" t="n">
        <f aca="false">L303-L304</f>
        <v>0</v>
      </c>
      <c r="N303" s="47" t="n">
        <f aca="false">M303-M304</f>
        <v>0</v>
      </c>
      <c r="O303" s="47" t="n">
        <f aca="false">N303-N304</f>
        <v>0</v>
      </c>
      <c r="P303" s="47" t="n">
        <f aca="false">O303-O304</f>
        <v>0</v>
      </c>
      <c r="Q303" s="47" t="n">
        <f aca="false">P303-P304</f>
        <v>0</v>
      </c>
      <c r="R303" s="47" t="n">
        <f aca="false">Q303-Q304</f>
        <v>0</v>
      </c>
      <c r="S303" s="47" t="n">
        <f aca="false">R303-R304</f>
        <v>0</v>
      </c>
      <c r="T303" s="47" t="n">
        <f aca="false">S303-S304</f>
        <v>0</v>
      </c>
      <c r="U303" s="47" t="n">
        <f aca="false">T303-T304</f>
        <v>0</v>
      </c>
      <c r="V303" s="47" t="n">
        <f aca="false">U303-U304</f>
        <v>0</v>
      </c>
      <c r="W303" s="47" t="n">
        <f aca="false">V303-V304</f>
        <v>0</v>
      </c>
      <c r="X303" s="47" t="n">
        <f aca="false">W303-W304</f>
        <v>0</v>
      </c>
      <c r="Y303" s="47" t="n">
        <f aca="false">X303-X304</f>
        <v>0</v>
      </c>
      <c r="Z303" s="47" t="n">
        <f aca="false">Y303-Y304</f>
        <v>0</v>
      </c>
      <c r="AA303" s="47" t="n">
        <f aca="false">Z303-Z304</f>
        <v>0</v>
      </c>
      <c r="AB303" s="47" t="n">
        <f aca="false">AA303-AA304</f>
        <v>0</v>
      </c>
      <c r="AC303" s="47" t="n">
        <f aca="false">AB303-AB304</f>
        <v>0</v>
      </c>
      <c r="AD303" s="47" t="n">
        <f aca="false">AC303-AC304</f>
        <v>0</v>
      </c>
      <c r="AE303" s="47" t="n">
        <f aca="false">AD303-AD304</f>
        <v>0</v>
      </c>
      <c r="AF303" s="47" t="n">
        <f aca="false">AE303-AE304</f>
        <v>0</v>
      </c>
      <c r="AG303" s="47" t="n">
        <f aca="false">AF303-AF304</f>
        <v>0</v>
      </c>
      <c r="AH303" s="47" t="n">
        <f aca="false">AG303-AG304</f>
        <v>0</v>
      </c>
      <c r="AI303" s="47" t="n">
        <f aca="false">AH303-AH304</f>
        <v>0</v>
      </c>
      <c r="AJ303" s="47" t="n">
        <f aca="false">AI303-AI304</f>
        <v>0</v>
      </c>
      <c r="AK303" s="47" t="n">
        <f aca="false">AJ303-AJ304</f>
        <v>0</v>
      </c>
    </row>
    <row r="304" customFormat="false" ht="15" hidden="false" customHeight="false" outlineLevel="0" collapsed="false">
      <c r="A304" s="10" t="s">
        <v>581</v>
      </c>
      <c r="H304" s="47" t="n">
        <f aca="false">MIN(H303,Inputs!$B$35*H302,1E+099)</f>
        <v>0</v>
      </c>
      <c r="I304" s="47" t="n">
        <f aca="false">MIN(I303,Inputs!$B$35*I302,1E+099)</f>
        <v>0</v>
      </c>
      <c r="J304" s="47" t="n">
        <f aca="false">MIN(J303,Inputs!$B$35*J302,1E+099)</f>
        <v>0</v>
      </c>
      <c r="K304" s="47" t="n">
        <f aca="false">MIN(K303,Inputs!$B$35*K302,1E+099)</f>
        <v>0</v>
      </c>
      <c r="L304" s="47" t="n">
        <f aca="false">MIN(L303,Inputs!$B$35*L302,1E+099)</f>
        <v>0</v>
      </c>
      <c r="M304" s="47" t="n">
        <f aca="false">MIN(M303,Inputs!$B$35*M302,1E+099)</f>
        <v>0</v>
      </c>
      <c r="N304" s="47" t="n">
        <f aca="false">MIN(N303,Inputs!$B$35*N302,1E+099)</f>
        <v>0</v>
      </c>
      <c r="O304" s="47" t="n">
        <f aca="false">MIN(O303,Inputs!$B$35*O302,1E+099)</f>
        <v>0</v>
      </c>
      <c r="P304" s="47" t="n">
        <f aca="false">MIN(P303,Inputs!$B$35*P302,1E+099)</f>
        <v>0</v>
      </c>
      <c r="Q304" s="47" t="n">
        <f aca="false">MIN(Q303,Inputs!$B$35*Q302,1E+099)</f>
        <v>0</v>
      </c>
      <c r="R304" s="47" t="n">
        <f aca="false">MIN(R303,Inputs!$B$35*R302,1E+099)</f>
        <v>0</v>
      </c>
      <c r="S304" s="47" t="n">
        <f aca="false">MIN(S303,Inputs!$B$35*S302,1E+099)</f>
        <v>0</v>
      </c>
      <c r="T304" s="47" t="n">
        <f aca="false">MIN(T303,Inputs!$B$35*T302,1E+099)</f>
        <v>0</v>
      </c>
      <c r="U304" s="47" t="n">
        <f aca="false">MIN(U303,Inputs!$B$35*U302,1E+099)</f>
        <v>0</v>
      </c>
      <c r="V304" s="47" t="n">
        <f aca="false">MIN(V303,Inputs!$B$35*V302,1E+099)</f>
        <v>0</v>
      </c>
      <c r="W304" s="47" t="n">
        <f aca="false">MIN(W303,Inputs!$B$35*W302,1E+099)</f>
        <v>0</v>
      </c>
      <c r="X304" s="47" t="n">
        <f aca="false">MIN(X303,Inputs!$B$35*X302,1E+099)</f>
        <v>0</v>
      </c>
      <c r="Y304" s="47" t="n">
        <f aca="false">MIN(Y303,Inputs!$B$35*Y302,1E+099)</f>
        <v>0</v>
      </c>
      <c r="Z304" s="47" t="n">
        <f aca="false">MIN(Z303,Inputs!$B$35*Z302,1E+099)</f>
        <v>0</v>
      </c>
      <c r="AA304" s="47" t="n">
        <f aca="false">MIN(AA303,Inputs!$B$35*AA302,1E+099)</f>
        <v>0</v>
      </c>
      <c r="AB304" s="47" t="n">
        <f aca="false">MIN(AB303,Inputs!$B$35*AB302,1E+099)</f>
        <v>0</v>
      </c>
      <c r="AC304" s="47" t="n">
        <f aca="false">MIN(AC303,Inputs!$B$35*AC302,1E+099)</f>
        <v>0</v>
      </c>
      <c r="AD304" s="47" t="n">
        <f aca="false">MIN(AD303,Inputs!$B$35*AD302,1E+099)</f>
        <v>0</v>
      </c>
      <c r="AE304" s="47" t="n">
        <f aca="false">MIN(AE303,Inputs!$B$35*AE302,1E+099)</f>
        <v>0</v>
      </c>
      <c r="AF304" s="47" t="n">
        <f aca="false">MIN(AF303,Inputs!$B$35*AF302,1E+099)</f>
        <v>0</v>
      </c>
      <c r="AG304" s="47" t="n">
        <f aca="false">MIN(AG303,Inputs!$B$35*AG302,1E+099)</f>
        <v>0</v>
      </c>
      <c r="AH304" s="47" t="n">
        <f aca="false">MIN(AH303,Inputs!$B$35*AH302,1E+099)</f>
        <v>0</v>
      </c>
      <c r="AI304" s="47" t="n">
        <f aca="false">MIN(AI303,Inputs!$B$35*AI302,1E+099)</f>
        <v>0</v>
      </c>
      <c r="AJ304" s="47" t="n">
        <f aca="false">MIN(AJ303,Inputs!$B$35*AJ302,1E+099)</f>
        <v>0</v>
      </c>
      <c r="AK304" s="47" t="n">
        <f aca="false">MIN(AK303,Inputs!$B$35*AK302,1E+099)</f>
        <v>0</v>
      </c>
    </row>
    <row r="305" customFormat="false" ht="15" hidden="false" customHeight="false" outlineLevel="0" collapsed="false">
      <c r="A305" s="10" t="s">
        <v>582</v>
      </c>
      <c r="G305" s="47" t="n">
        <f aca="false">$F$255</f>
        <v>0</v>
      </c>
      <c r="H305" s="47" t="n">
        <f aca="false">G305</f>
        <v>0</v>
      </c>
      <c r="I305" s="47" t="n">
        <f aca="false">H305-H306</f>
        <v>0</v>
      </c>
      <c r="J305" s="47" t="n">
        <f aca="false">I305-I306</f>
        <v>0</v>
      </c>
      <c r="K305" s="47" t="n">
        <f aca="false">J305-J306</f>
        <v>0</v>
      </c>
      <c r="L305" s="47" t="n">
        <f aca="false">K305-K306</f>
        <v>0</v>
      </c>
      <c r="M305" s="47" t="n">
        <f aca="false">L305-L306</f>
        <v>0</v>
      </c>
      <c r="N305" s="47" t="n">
        <f aca="false">M305-M306</f>
        <v>0</v>
      </c>
      <c r="O305" s="47" t="n">
        <f aca="false">N305-N306</f>
        <v>0</v>
      </c>
      <c r="P305" s="47" t="n">
        <f aca="false">O305-O306</f>
        <v>0</v>
      </c>
      <c r="Q305" s="47" t="n">
        <f aca="false">P305-P306</f>
        <v>0</v>
      </c>
      <c r="R305" s="47" t="n">
        <f aca="false">Q305-Q306</f>
        <v>0</v>
      </c>
      <c r="S305" s="47" t="n">
        <f aca="false">R305-R306</f>
        <v>0</v>
      </c>
      <c r="T305" s="47" t="n">
        <f aca="false">S305-S306</f>
        <v>0</v>
      </c>
      <c r="U305" s="47" t="n">
        <f aca="false">T305-T306</f>
        <v>0</v>
      </c>
      <c r="V305" s="47" t="n">
        <f aca="false">U305-U306</f>
        <v>0</v>
      </c>
      <c r="W305" s="47" t="n">
        <f aca="false">V305-V306</f>
        <v>0</v>
      </c>
      <c r="X305" s="47" t="n">
        <f aca="false">W305-W306</f>
        <v>0</v>
      </c>
      <c r="Y305" s="47" t="n">
        <f aca="false">X305-X306</f>
        <v>0</v>
      </c>
      <c r="Z305" s="47" t="n">
        <f aca="false">Y305-Y306</f>
        <v>0</v>
      </c>
      <c r="AA305" s="47" t="n">
        <f aca="false">Z305-Z306</f>
        <v>0</v>
      </c>
      <c r="AB305" s="47" t="n">
        <f aca="false">AA305-AA306</f>
        <v>0</v>
      </c>
      <c r="AC305" s="47" t="n">
        <f aca="false">AB305-AB306</f>
        <v>0</v>
      </c>
      <c r="AD305" s="47" t="n">
        <f aca="false">AC305-AC306</f>
        <v>0</v>
      </c>
      <c r="AE305" s="47" t="n">
        <f aca="false">AD305-AD306</f>
        <v>0</v>
      </c>
      <c r="AF305" s="47" t="n">
        <f aca="false">AE305-AE306</f>
        <v>0</v>
      </c>
      <c r="AG305" s="47" t="n">
        <f aca="false">AF305-AF306</f>
        <v>0</v>
      </c>
      <c r="AH305" s="47" t="n">
        <f aca="false">AG305-AG306</f>
        <v>0</v>
      </c>
      <c r="AI305" s="47" t="n">
        <f aca="false">AH305-AH306</f>
        <v>0</v>
      </c>
      <c r="AJ305" s="47" t="n">
        <f aca="false">AI305-AI306</f>
        <v>0</v>
      </c>
      <c r="AK305" s="47" t="n">
        <f aca="false">AJ305-AJ306</f>
        <v>0</v>
      </c>
    </row>
    <row r="306" customFormat="false" ht="15" hidden="false" customHeight="false" outlineLevel="0" collapsed="false">
      <c r="A306" s="10" t="s">
        <v>576</v>
      </c>
      <c r="H306" s="47" t="n">
        <f aca="false">MIN(H305,Inputs!$B$35*H302-H304)</f>
        <v>0</v>
      </c>
      <c r="I306" s="47" t="n">
        <f aca="false">MIN(I305,Inputs!$B$35*I302-I304)</f>
        <v>0</v>
      </c>
      <c r="J306" s="47" t="n">
        <f aca="false">MIN(J305,Inputs!$B$35*J302-J304)</f>
        <v>0</v>
      </c>
      <c r="K306" s="47" t="n">
        <f aca="false">MIN(K305,Inputs!$B$35*K302-K304)</f>
        <v>0</v>
      </c>
      <c r="L306" s="47" t="n">
        <f aca="false">MIN(L305,Inputs!$B$35*L302-L304)</f>
        <v>0</v>
      </c>
      <c r="M306" s="47" t="n">
        <f aca="false">MIN(M305,Inputs!$B$35*M302-M304)</f>
        <v>0</v>
      </c>
      <c r="N306" s="47" t="n">
        <f aca="false">MIN(N305,Inputs!$B$35*N302-N304)</f>
        <v>0</v>
      </c>
      <c r="O306" s="47" t="n">
        <f aca="false">MIN(O305,Inputs!$B$35*O302-O304)</f>
        <v>0</v>
      </c>
      <c r="P306" s="47" t="n">
        <f aca="false">MIN(P305,Inputs!$B$35*P302-P304)</f>
        <v>0</v>
      </c>
      <c r="Q306" s="47" t="n">
        <f aca="false">MIN(Q305,Inputs!$B$35*Q302-Q304)</f>
        <v>0</v>
      </c>
      <c r="R306" s="47" t="n">
        <f aca="false">MIN(R305,Inputs!$B$35*R302-R304)</f>
        <v>0</v>
      </c>
      <c r="S306" s="47" t="n">
        <f aca="false">MIN(S305,Inputs!$B$35*S302-S304)</f>
        <v>0</v>
      </c>
      <c r="T306" s="47" t="n">
        <f aca="false">MIN(T305,Inputs!$B$35*T302-T304)</f>
        <v>0</v>
      </c>
      <c r="U306" s="47" t="n">
        <f aca="false">MIN(U305,Inputs!$B$35*U302-U304)</f>
        <v>0</v>
      </c>
      <c r="V306" s="47" t="n">
        <f aca="false">MIN(V305,Inputs!$B$35*V302-V304)</f>
        <v>0</v>
      </c>
      <c r="W306" s="47" t="n">
        <f aca="false">MIN(W305,Inputs!$B$35*W302-W304)</f>
        <v>0</v>
      </c>
      <c r="X306" s="47" t="n">
        <f aca="false">MIN(X305,Inputs!$B$35*X302-X304)</f>
        <v>0</v>
      </c>
      <c r="Y306" s="47" t="n">
        <f aca="false">MIN(Y305,Inputs!$B$35*Y302-Y304)</f>
        <v>0</v>
      </c>
      <c r="Z306" s="47" t="n">
        <f aca="false">MIN(Z305,Inputs!$B$35*Z302-Z304)</f>
        <v>0</v>
      </c>
      <c r="AA306" s="47" t="n">
        <f aca="false">MIN(AA305,Inputs!$B$35*AA302-AA304)</f>
        <v>0</v>
      </c>
      <c r="AB306" s="47" t="n">
        <f aca="false">MIN(AB305,Inputs!$B$35*AB302-AB304)</f>
        <v>0</v>
      </c>
      <c r="AC306" s="47" t="n">
        <f aca="false">MIN(AC305,Inputs!$B$35*AC302-AC304)</f>
        <v>0</v>
      </c>
      <c r="AD306" s="47" t="n">
        <f aca="false">MIN(AD305,Inputs!$B$35*AD302-AD304)</f>
        <v>0</v>
      </c>
      <c r="AE306" s="47" t="n">
        <f aca="false">MIN(AE305,Inputs!$B$35*AE302-AE304)</f>
        <v>0</v>
      </c>
      <c r="AF306" s="47" t="n">
        <f aca="false">MIN(AF305,Inputs!$B$35*AF302-AF304)</f>
        <v>0</v>
      </c>
      <c r="AG306" s="47" t="n">
        <f aca="false">MIN(AG305,Inputs!$B$35*AG302-AG304)</f>
        <v>0</v>
      </c>
      <c r="AH306" s="47" t="n">
        <f aca="false">MIN(AH305,Inputs!$B$35*AH302-AH304)</f>
        <v>0</v>
      </c>
      <c r="AI306" s="47" t="n">
        <f aca="false">MIN(AI305,Inputs!$B$35*AI302-AI304)</f>
        <v>0</v>
      </c>
      <c r="AJ306" s="47" t="n">
        <f aca="false">MIN(AJ305,Inputs!$B$35*AJ302-AJ304)</f>
        <v>0</v>
      </c>
      <c r="AK306" s="47" t="n">
        <f aca="false">MIN(AK305,Inputs!$B$35*AK302-AK304)</f>
        <v>0</v>
      </c>
    </row>
    <row r="307" customFormat="false" ht="15" hidden="false" customHeight="false" outlineLevel="0" collapsed="false">
      <c r="A307" s="10" t="s">
        <v>583</v>
      </c>
      <c r="H307" s="47" t="n">
        <f aca="false">(H302-H304-H306)*Inputs!$B$33</f>
        <v>1.19037944067464</v>
      </c>
      <c r="I307" s="47" t="n">
        <f aca="false">(I302-I304-I306)*Inputs!$B$33</f>
        <v>1.19037944067464</v>
      </c>
      <c r="J307" s="47" t="n">
        <f aca="false">(J302-J304-J306)*Inputs!$B$33</f>
        <v>1.19037944067464</v>
      </c>
      <c r="K307" s="47" t="n">
        <f aca="false">(K302-K304-K306)*Inputs!$B$33</f>
        <v>1.19037944067464</v>
      </c>
      <c r="L307" s="47" t="n">
        <f aca="false">(L302-L304-L306)*Inputs!$B$33</f>
        <v>1.19037944067464</v>
      </c>
      <c r="M307" s="47" t="n">
        <f aca="false">(M302-M304-M306)*Inputs!$B$33</f>
        <v>1.19037944067464</v>
      </c>
      <c r="N307" s="47" t="n">
        <f aca="false">(N302-N304-N306)*Inputs!$B$33</f>
        <v>1.19037944067464</v>
      </c>
      <c r="O307" s="47" t="n">
        <f aca="false">(O302-O304-O306)*Inputs!$B$33</f>
        <v>1.19037944067464</v>
      </c>
      <c r="P307" s="47" t="n">
        <f aca="false">(P302-P304-P306)*Inputs!$B$33</f>
        <v>1.19037944067464</v>
      </c>
      <c r="Q307" s="47" t="n">
        <f aca="false">(Q302-Q304-Q306)*Inputs!$B$33</f>
        <v>1.19037944067464</v>
      </c>
      <c r="R307" s="47" t="n">
        <f aca="false">(R302-R304-R306)*Inputs!$B$33</f>
        <v>1.19037944067464</v>
      </c>
      <c r="S307" s="47" t="n">
        <f aca="false">(S302-S304-S306)*Inputs!$B$33</f>
        <v>1.19037944067464</v>
      </c>
      <c r="T307" s="47" t="n">
        <f aca="false">(T302-T304-T306)*Inputs!$B$33</f>
        <v>1.19037944067464</v>
      </c>
      <c r="U307" s="47" t="n">
        <f aca="false">(U302-U304-U306)*Inputs!$B$33</f>
        <v>1.19037944067464</v>
      </c>
      <c r="V307" s="47" t="n">
        <f aca="false">(V302-V304-V306)*Inputs!$B$33</f>
        <v>1.19037944067464</v>
      </c>
      <c r="W307" s="47" t="n">
        <f aca="false">(W302-W304-W306)*Inputs!$B$33</f>
        <v>1.19037944067464</v>
      </c>
      <c r="X307" s="47" t="n">
        <f aca="false">(X302-X304-X306)*Inputs!$B$33</f>
        <v>1.19037944067464</v>
      </c>
      <c r="Y307" s="47" t="n">
        <f aca="false">(Y302-Y304-Y306)*Inputs!$B$33</f>
        <v>1.19037944067464</v>
      </c>
      <c r="Z307" s="47" t="n">
        <f aca="false">(Z302-Z304-Z306)*Inputs!$B$33</f>
        <v>1.19037944067464</v>
      </c>
      <c r="AA307" s="47" t="n">
        <f aca="false">(AA302-AA304-AA306)*Inputs!$B$33</f>
        <v>1.19037944067464</v>
      </c>
      <c r="AB307" s="47" t="n">
        <f aca="false">(AB302-AB304-AB306)*Inputs!$B$33</f>
        <v>1.19037944067464</v>
      </c>
      <c r="AC307" s="47" t="n">
        <f aca="false">(AC302-AC304-AC306)*Inputs!$B$33</f>
        <v>1.19037944067464</v>
      </c>
      <c r="AD307" s="47" t="n">
        <f aca="false">(AD302-AD304-AD306)*Inputs!$B$33</f>
        <v>1.19037944067464</v>
      </c>
      <c r="AE307" s="47" t="n">
        <f aca="false">(AE302-AE304-AE306)*Inputs!$B$33</f>
        <v>1.19037944067464</v>
      </c>
      <c r="AF307" s="47" t="n">
        <f aca="false">(AF302-AF304-AF306)*Inputs!$B$33</f>
        <v>1.19037944067464</v>
      </c>
      <c r="AG307" s="47" t="n">
        <f aca="false">(AG302-AG304-AG306)*Inputs!$B$33</f>
        <v>1.19037944067464</v>
      </c>
      <c r="AH307" s="47" t="n">
        <f aca="false">(AH302-AH304-AH306)*Inputs!$B$33</f>
        <v>1.19037944067464</v>
      </c>
      <c r="AI307" s="47" t="n">
        <f aca="false">(AI302-AI304-AI306)*Inputs!$B$33</f>
        <v>1.19037944067464</v>
      </c>
      <c r="AJ307" s="47" t="n">
        <f aca="false">(AJ302-AJ304-AJ306)*Inputs!$B$33</f>
        <v>1.19037944067464</v>
      </c>
      <c r="AK307" s="47" t="n">
        <f aca="false">(AK302-AK304-AK306)*Inputs!$B$33</f>
        <v>1.19037944067464</v>
      </c>
    </row>
    <row r="308" customFormat="false" ht="15" hidden="false" customHeight="false" outlineLevel="0" collapsed="false">
      <c r="A308" s="10" t="s">
        <v>584</v>
      </c>
      <c r="G308" s="47" t="n">
        <f aca="false">$F$258</f>
        <v>0</v>
      </c>
      <c r="H308" s="47" t="n">
        <f aca="false">G308</f>
        <v>0</v>
      </c>
      <c r="I308" s="47" t="n">
        <f aca="false">H308-H309</f>
        <v>0</v>
      </c>
      <c r="J308" s="47" t="n">
        <f aca="false">I308-I309</f>
        <v>0</v>
      </c>
      <c r="K308" s="47" t="n">
        <f aca="false">J308-J309</f>
        <v>0</v>
      </c>
      <c r="L308" s="47" t="n">
        <f aca="false">K308-K309</f>
        <v>0</v>
      </c>
      <c r="M308" s="47" t="n">
        <f aca="false">L308-L309</f>
        <v>0</v>
      </c>
      <c r="N308" s="47" t="n">
        <f aca="false">M308-M309</f>
        <v>0</v>
      </c>
      <c r="O308" s="47" t="n">
        <f aca="false">N308-N309</f>
        <v>0</v>
      </c>
      <c r="P308" s="47" t="n">
        <f aca="false">O308-O309</f>
        <v>0</v>
      </c>
      <c r="Q308" s="47" t="n">
        <f aca="false">P308-P309</f>
        <v>0</v>
      </c>
      <c r="R308" s="47" t="n">
        <f aca="false">Q308-Q309</f>
        <v>0</v>
      </c>
      <c r="S308" s="47" t="n">
        <f aca="false">R308-R309</f>
        <v>0</v>
      </c>
      <c r="T308" s="47" t="n">
        <f aca="false">S308-S309</f>
        <v>0</v>
      </c>
      <c r="U308" s="47" t="n">
        <f aca="false">T308-T309</f>
        <v>0</v>
      </c>
      <c r="V308" s="47" t="n">
        <f aca="false">U308-U309</f>
        <v>0</v>
      </c>
      <c r="W308" s="47" t="n">
        <f aca="false">V308-V309</f>
        <v>0</v>
      </c>
      <c r="X308" s="47" t="n">
        <f aca="false">W308-W309</f>
        <v>0</v>
      </c>
      <c r="Y308" s="47" t="n">
        <f aca="false">X308-X309</f>
        <v>0</v>
      </c>
      <c r="Z308" s="47" t="n">
        <f aca="false">Y308-Y309</f>
        <v>0</v>
      </c>
      <c r="AA308" s="47" t="n">
        <f aca="false">Z308-Z309</f>
        <v>0</v>
      </c>
      <c r="AB308" s="47" t="n">
        <f aca="false">AA308-AA309</f>
        <v>0</v>
      </c>
      <c r="AC308" s="47" t="n">
        <f aca="false">AB308-AB309</f>
        <v>0</v>
      </c>
      <c r="AD308" s="47" t="n">
        <f aca="false">AC308-AC309</f>
        <v>0</v>
      </c>
      <c r="AE308" s="47" t="n">
        <f aca="false">AD308-AD309</f>
        <v>0</v>
      </c>
      <c r="AF308" s="47" t="n">
        <f aca="false">AE308-AE309</f>
        <v>0</v>
      </c>
      <c r="AG308" s="47" t="n">
        <f aca="false">AF308-AF309</f>
        <v>0</v>
      </c>
      <c r="AH308" s="47" t="n">
        <f aca="false">AG308-AG309</f>
        <v>0</v>
      </c>
      <c r="AI308" s="47" t="n">
        <f aca="false">AH308-AH309</f>
        <v>0</v>
      </c>
      <c r="AJ308" s="47" t="n">
        <f aca="false">AI308-AI309</f>
        <v>0</v>
      </c>
      <c r="AK308" s="47" t="n">
        <f aca="false">AJ308-AJ309</f>
        <v>0</v>
      </c>
    </row>
    <row r="309" customFormat="false" ht="15" hidden="false" customHeight="false" outlineLevel="0" collapsed="false">
      <c r="A309" s="10" t="s">
        <v>585</v>
      </c>
      <c r="H309" s="47" t="n">
        <f aca="false">IF(1&lt;=Inputs!$B$43,MIN(H308,H307,MAX(0,1E+099-H304)*Inputs!$B$33),0)</f>
        <v>0</v>
      </c>
      <c r="I309" s="47" t="n">
        <f aca="false">IF(2&lt;=Inputs!$B$43,MIN(I308,I307,MAX(0,1E+099-I304)*Inputs!$B$33),0)</f>
        <v>0</v>
      </c>
      <c r="J309" s="47" t="n">
        <f aca="false">IF(3&lt;=Inputs!$B$43,MIN(J308,J307,MAX(0,1E+099-J304)*Inputs!$B$33),0)</f>
        <v>0</v>
      </c>
      <c r="K309" s="47" t="n">
        <f aca="false">IF(4&lt;=Inputs!$B$43,MIN(K308,K307,MAX(0,1E+099-K304)*Inputs!$B$33),0)</f>
        <v>0</v>
      </c>
      <c r="L309" s="47" t="n">
        <f aca="false">IF(5&lt;=Inputs!$B$43,MIN(L308,L307,MAX(0,1E+099-L304)*Inputs!$B$33),0)</f>
        <v>0</v>
      </c>
      <c r="M309" s="47" t="n">
        <f aca="false">IF(6&lt;=Inputs!$B$43,MIN(M308,M307,MAX(0,1E+099-M304)*Inputs!$B$33),0)</f>
        <v>0</v>
      </c>
      <c r="N309" s="47" t="n">
        <f aca="false">IF(7&lt;=Inputs!$B$43,MIN(N308,N307,MAX(0,1E+099-N304)*Inputs!$B$33),0)</f>
        <v>0</v>
      </c>
      <c r="O309" s="47" t="n">
        <f aca="false">IF(8&lt;=Inputs!$B$43,MIN(O308,O307,MAX(0,1E+099-O304)*Inputs!$B$33),0)</f>
        <v>0</v>
      </c>
      <c r="P309" s="47" t="n">
        <f aca="false">IF(9&lt;=Inputs!$B$43,MIN(P308,P307,MAX(0,1E+099-P304)*Inputs!$B$33),0)</f>
        <v>0</v>
      </c>
      <c r="Q309" s="47" t="n">
        <f aca="false">IF(10&lt;=Inputs!$B$43,MIN(Q308,Q307,MAX(0,1E+099-Q304)*Inputs!$B$33),0)</f>
        <v>0</v>
      </c>
      <c r="R309" s="47" t="n">
        <f aca="false">IF(11&lt;=Inputs!$B$43,MIN(R308,R307,MAX(0,1E+099-R304)*Inputs!$B$33),0)</f>
        <v>0</v>
      </c>
      <c r="S309" s="47" t="n">
        <f aca="false">IF(12&lt;=Inputs!$B$43,MIN(S308,S307,MAX(0,1E+099-S304)*Inputs!$B$33),0)</f>
        <v>0</v>
      </c>
      <c r="T309" s="47" t="n">
        <f aca="false">IF(13&lt;=Inputs!$B$43,MIN(T308,T307,MAX(0,1E+099-T304)*Inputs!$B$33),0)</f>
        <v>0</v>
      </c>
      <c r="U309" s="47" t="n">
        <f aca="false">IF(14&lt;=Inputs!$B$43,MIN(U308,U307,MAX(0,1E+099-U304)*Inputs!$B$33),0)</f>
        <v>0</v>
      </c>
      <c r="V309" s="47" t="n">
        <f aca="false">IF(15&lt;=Inputs!$B$43,MIN(V308,V307,MAX(0,1E+099-V304)*Inputs!$B$33),0)</f>
        <v>0</v>
      </c>
      <c r="W309" s="47" t="n">
        <f aca="false">IF(16&lt;=Inputs!$B$43,MIN(W308,W307,MAX(0,1E+099-W304)*Inputs!$B$33),0)</f>
        <v>0</v>
      </c>
      <c r="X309" s="47" t="n">
        <f aca="false">IF(17&lt;=Inputs!$B$43,MIN(X308,X307,MAX(0,1E+099-X304)*Inputs!$B$33),0)</f>
        <v>0</v>
      </c>
      <c r="Y309" s="47" t="n">
        <f aca="false">IF(18&lt;=Inputs!$B$43,MIN(Y308,Y307,MAX(0,1E+099-Y304)*Inputs!$B$33),0)</f>
        <v>0</v>
      </c>
      <c r="Z309" s="47" t="n">
        <f aca="false">IF(19&lt;=Inputs!$B$43,MIN(Z308,Z307,MAX(0,1E+099-Z304)*Inputs!$B$33),0)</f>
        <v>0</v>
      </c>
      <c r="AA309" s="47" t="n">
        <f aca="false">IF(20&lt;=Inputs!$B$43,MIN(AA308,AA307,MAX(0,1E+099-AA304)*Inputs!$B$33),0)</f>
        <v>0</v>
      </c>
      <c r="AB309" s="47" t="n">
        <f aca="false">IF(21&lt;=Inputs!$B$43,MIN(AB308,AB307,MAX(0,1E+099-AB304)*Inputs!$B$33),0)</f>
        <v>0</v>
      </c>
      <c r="AC309" s="47" t="n">
        <f aca="false">IF(22&lt;=Inputs!$B$43,MIN(AC308,AC307,MAX(0,1E+099-AC304)*Inputs!$B$33),0)</f>
        <v>0</v>
      </c>
      <c r="AD309" s="47" t="n">
        <f aca="false">IF(23&lt;=Inputs!$B$43,MIN(AD308,AD307,MAX(0,1E+099-AD304)*Inputs!$B$33),0)</f>
        <v>0</v>
      </c>
      <c r="AE309" s="47" t="n">
        <f aca="false">IF(24&lt;=Inputs!$B$43,MIN(AE308,AE307,MAX(0,1E+099-AE304)*Inputs!$B$33),0)</f>
        <v>0</v>
      </c>
      <c r="AF309" s="47" t="n">
        <f aca="false">IF(25&lt;=Inputs!$B$43,MIN(AF308,AF307,MAX(0,1E+099-AF304)*Inputs!$B$33),0)</f>
        <v>0</v>
      </c>
      <c r="AG309" s="47" t="n">
        <f aca="false">IF(26&lt;=Inputs!$B$43,MIN(AG308,AG307,MAX(0,1E+099-AG304)*Inputs!$B$33),0)</f>
        <v>0</v>
      </c>
      <c r="AH309" s="47" t="n">
        <f aca="false">IF(27&lt;=Inputs!$B$43,MIN(AH308,AH307,MAX(0,1E+099-AH304)*Inputs!$B$33),0)</f>
        <v>0</v>
      </c>
      <c r="AI309" s="47" t="n">
        <f aca="false">IF(28&lt;=Inputs!$B$43,MIN(AI308,AI307,MAX(0,1E+099-AI304)*Inputs!$B$33),0)</f>
        <v>0</v>
      </c>
      <c r="AJ309" s="47" t="n">
        <f aca="false">IF(29&lt;=Inputs!$B$43,MIN(AJ308,AJ307,MAX(0,1E+099-AJ304)*Inputs!$B$33),0)</f>
        <v>0</v>
      </c>
      <c r="AK309" s="47" t="n">
        <f aca="false">IF(30&lt;=Inputs!$B$43,MIN(AK308,AK307,MAX(0,1E+099-AK304)*Inputs!$B$33),0)</f>
        <v>0</v>
      </c>
    </row>
    <row r="310" customFormat="false" ht="15" hidden="false" customHeight="false" outlineLevel="0" collapsed="false">
      <c r="A310" s="10" t="s">
        <v>586</v>
      </c>
      <c r="H310" s="47" t="n">
        <f aca="false">($B$295*Inputs!$B$34+($B$295-$B$295*Inputs!$B$34)*Inputs!$B$33)-(H301+H307-H309)</f>
        <v>0</v>
      </c>
      <c r="I310" s="47" t="n">
        <f aca="false">($B$295*Inputs!$B$34+($B$295-$B$295*Inputs!$B$34)*Inputs!$B$33)-(I301+I307-I309)</f>
        <v>0</v>
      </c>
      <c r="J310" s="47" t="n">
        <f aca="false">($B$295*Inputs!$B$34+($B$295-$B$295*Inputs!$B$34)*Inputs!$B$33)-(J301+J307-J309)</f>
        <v>0</v>
      </c>
      <c r="K310" s="47" t="n">
        <f aca="false">($B$295*Inputs!$B$34+($B$295-$B$295*Inputs!$B$34)*Inputs!$B$33)-(K301+K307-K309)</f>
        <v>0</v>
      </c>
      <c r="L310" s="47" t="n">
        <f aca="false">($B$295*Inputs!$B$34+($B$295-$B$295*Inputs!$B$34)*Inputs!$B$33)-(L301+L307-L309)</f>
        <v>0</v>
      </c>
      <c r="M310" s="47" t="n">
        <f aca="false">($B$295*Inputs!$B$34+($B$295-$B$295*Inputs!$B$34)*Inputs!$B$33)-(M301+M307-M309)</f>
        <v>0</v>
      </c>
      <c r="N310" s="47" t="n">
        <f aca="false">($B$295*Inputs!$B$34+($B$295-$B$295*Inputs!$B$34)*Inputs!$B$33)-(N301+N307-N309)</f>
        <v>0</v>
      </c>
      <c r="O310" s="47" t="n">
        <f aca="false">($B$295*Inputs!$B$34+($B$295-$B$295*Inputs!$B$34)*Inputs!$B$33)-(O301+O307-O309)</f>
        <v>0</v>
      </c>
      <c r="P310" s="47" t="n">
        <f aca="false">($B$295*Inputs!$B$34+($B$295-$B$295*Inputs!$B$34)*Inputs!$B$33)-(P301+P307-P309)</f>
        <v>0</v>
      </c>
      <c r="Q310" s="47" t="n">
        <f aca="false">($B$295*Inputs!$B$34+($B$295-$B$295*Inputs!$B$34)*Inputs!$B$33)-(Q301+Q307-Q309)</f>
        <v>0</v>
      </c>
      <c r="R310" s="47" t="n">
        <f aca="false">($B$295*Inputs!$B$34+($B$295-$B$295*Inputs!$B$34)*Inputs!$B$33)-(R301+R307-R309)</f>
        <v>0</v>
      </c>
      <c r="S310" s="47" t="n">
        <f aca="false">($B$295*Inputs!$B$34+($B$295-$B$295*Inputs!$B$34)*Inputs!$B$33)-(S301+S307-S309)</f>
        <v>0</v>
      </c>
      <c r="T310" s="47" t="n">
        <f aca="false">($B$295*Inputs!$B$34+($B$295-$B$295*Inputs!$B$34)*Inputs!$B$33)-(T301+T307-T309)</f>
        <v>0</v>
      </c>
      <c r="U310" s="47" t="n">
        <f aca="false">($B$295*Inputs!$B$34+($B$295-$B$295*Inputs!$B$34)*Inputs!$B$33)-(U301+U307-U309)</f>
        <v>0</v>
      </c>
      <c r="V310" s="47" t="n">
        <f aca="false">($B$295*Inputs!$B$34+($B$295-$B$295*Inputs!$B$34)*Inputs!$B$33)-(V301+V307-V309)</f>
        <v>0</v>
      </c>
      <c r="W310" s="47" t="n">
        <f aca="false">($B$295*Inputs!$B$34+($B$295-$B$295*Inputs!$B$34)*Inputs!$B$33)-(W301+W307-W309)</f>
        <v>0</v>
      </c>
      <c r="X310" s="47" t="n">
        <f aca="false">($B$295*Inputs!$B$34+($B$295-$B$295*Inputs!$B$34)*Inputs!$B$33)-(X301+X307-X309)</f>
        <v>0</v>
      </c>
      <c r="Y310" s="47" t="n">
        <f aca="false">($B$295*Inputs!$B$34+($B$295-$B$295*Inputs!$B$34)*Inputs!$B$33)-(Y301+Y307-Y309)</f>
        <v>0</v>
      </c>
      <c r="Z310" s="47" t="n">
        <f aca="false">($B$295*Inputs!$B$34+($B$295-$B$295*Inputs!$B$34)*Inputs!$B$33)-(Z301+Z307-Z309)</f>
        <v>0</v>
      </c>
      <c r="AA310" s="47" t="n">
        <f aca="false">($B$295*Inputs!$B$34+($B$295-$B$295*Inputs!$B$34)*Inputs!$B$33)-(AA301+AA307-AA309)</f>
        <v>0</v>
      </c>
      <c r="AB310" s="47" t="n">
        <f aca="false">($B$295*Inputs!$B$34+($B$295-$B$295*Inputs!$B$34)*Inputs!$B$33)-(AB301+AB307-AB309)</f>
        <v>0</v>
      </c>
      <c r="AC310" s="47" t="n">
        <f aca="false">($B$295*Inputs!$B$34+($B$295-$B$295*Inputs!$B$34)*Inputs!$B$33)-(AC301+AC307-AC309)</f>
        <v>0</v>
      </c>
      <c r="AD310" s="47" t="n">
        <f aca="false">($B$295*Inputs!$B$34+($B$295-$B$295*Inputs!$B$34)*Inputs!$B$33)-(AD301+AD307-AD309)</f>
        <v>0</v>
      </c>
      <c r="AE310" s="47" t="n">
        <f aca="false">($B$295*Inputs!$B$34+($B$295-$B$295*Inputs!$B$34)*Inputs!$B$33)-(AE301+AE307-AE309)</f>
        <v>0</v>
      </c>
      <c r="AF310" s="47" t="n">
        <f aca="false">($B$295*Inputs!$B$34+($B$295-$B$295*Inputs!$B$34)*Inputs!$B$33)-(AF301+AF307-AF309)</f>
        <v>0</v>
      </c>
      <c r="AG310" s="47" t="n">
        <f aca="false">($B$295*Inputs!$B$34+($B$295-$B$295*Inputs!$B$34)*Inputs!$B$33)-(AG301+AG307-AG309)</f>
        <v>0</v>
      </c>
      <c r="AH310" s="47" t="n">
        <f aca="false">($B$295*Inputs!$B$34+($B$295-$B$295*Inputs!$B$34)*Inputs!$B$33)-(AH301+AH307-AH309)</f>
        <v>0</v>
      </c>
      <c r="AI310" s="47" t="n">
        <f aca="false">($B$295*Inputs!$B$34+($B$295-$B$295*Inputs!$B$34)*Inputs!$B$33)-(AI301+AI307-AI309)</f>
        <v>0</v>
      </c>
      <c r="AJ310" s="47" t="n">
        <f aca="false">($B$295*Inputs!$B$34+($B$295-$B$295*Inputs!$B$34)*Inputs!$B$33)-(AJ301+AJ307-AJ309)</f>
        <v>0</v>
      </c>
      <c r="AK310" s="47" t="n">
        <f aca="false">($B$295*Inputs!$B$34+($B$295-$B$295*Inputs!$B$34)*Inputs!$B$33)-(AK301+AK307-AK309)</f>
        <v>0</v>
      </c>
    </row>
    <row r="311" customFormat="false" ht="15" hidden="false" customHeight="false" outlineLevel="0" collapsed="false">
      <c r="A311" s="10" t="s">
        <v>587</v>
      </c>
      <c r="B311" s="47" t="n">
        <f aca="false">SUMPRODUCT($H$310:$AK$310,$H$296:$AK$296)</f>
        <v>0</v>
      </c>
    </row>
    <row r="312" customFormat="false" ht="15" hidden="false" customHeight="false" outlineLevel="0" collapsed="false">
      <c r="A312" s="10" t="s">
        <v>588</v>
      </c>
      <c r="B312" s="47" t="n">
        <f aca="false">Inputs!$B$42*$B$311*$F$527</f>
        <v>0</v>
      </c>
    </row>
    <row r="313" customFormat="false" ht="15" hidden="false" customHeight="false" outlineLevel="0" collapsed="false">
      <c r="A313" s="10" t="s">
        <v>589</v>
      </c>
      <c r="B313" s="47" t="n">
        <f aca="false">$B$279</f>
        <v>32.3747788944724</v>
      </c>
    </row>
    <row r="314" customFormat="false" ht="15" hidden="false" customHeight="false" outlineLevel="0" collapsed="false">
      <c r="A314" s="10" t="s">
        <v>590</v>
      </c>
      <c r="B314" s="47" t="n">
        <f aca="false">Inputs!$B$18*IF(ISNUMBER($B$110),$B$110,Inputs!$B$12)</f>
        <v>0.107732913640393</v>
      </c>
    </row>
    <row r="315" customFormat="false" ht="15" hidden="false" customHeight="false" outlineLevel="0" collapsed="false">
      <c r="A315" s="10" t="s">
        <v>591</v>
      </c>
      <c r="B315" s="47" t="n">
        <f aca="false">SUMPRODUCT($C$274:$F$274,$C$527:$F$527)</f>
        <v>0</v>
      </c>
    </row>
    <row r="316" customFormat="false" ht="15" hidden="false" customHeight="false" outlineLevel="0" collapsed="false">
      <c r="A316" s="13" t="s">
        <v>592</v>
      </c>
      <c r="B316" s="18" t="n">
        <f aca="false">$B$294+$B$312+$B$313+$B$314-$B$315</f>
        <v>86.5052576375697</v>
      </c>
    </row>
    <row r="317" customFormat="false" ht="15" hidden="false" customHeight="false" outlineLevel="0" collapsed="false">
      <c r="A317" s="10" t="s">
        <v>593</v>
      </c>
      <c r="B317" s="25" t="n">
        <f aca="false">Historicals!$B$89+Inputs!$B$17</f>
        <v>3.967329173</v>
      </c>
    </row>
    <row r="318" customFormat="false" ht="15" hidden="false" customHeight="false" outlineLevel="0" collapsed="false">
      <c r="A318" s="10" t="s">
        <v>594</v>
      </c>
      <c r="B318" s="32" t="n">
        <f aca="false">IFERROR(($B$316-$B$273*(1-Inputs!$B$70))/$B$317,0)</f>
        <v>21.8044064067808</v>
      </c>
    </row>
    <row r="319" customFormat="false" ht="15" hidden="false" customHeight="false" outlineLevel="0" collapsed="false">
      <c r="A319" s="10" t="s">
        <v>595</v>
      </c>
      <c r="B319" s="25" t="n">
        <f aca="false">IF($B$318&gt;0,$B$273/($B$318*(1-Inputs!$B$71)),0)</f>
        <v>0</v>
      </c>
    </row>
    <row r="320" customFormat="false" ht="15" hidden="false" customHeight="false" outlineLevel="0" collapsed="false">
      <c r="A320" s="10" t="s">
        <v>596</v>
      </c>
      <c r="B320" s="32" t="n">
        <f aca="false">IFERROR($B$316/($B$317+$B$319),0)</f>
        <v>21.8044064067808</v>
      </c>
    </row>
    <row r="321" customFormat="false" ht="15" hidden="false" customHeight="false" outlineLevel="0" collapsed="false">
      <c r="A321" s="10" t="s">
        <v>597</v>
      </c>
      <c r="B321" s="47" t="n">
        <f aca="false">SUMPRODUCT($C$273:$F$273,$C$527:$F$527)</f>
        <v>0</v>
      </c>
    </row>
    <row r="322" customFormat="false" ht="15" hidden="false" customHeight="false" outlineLevel="0" collapsed="false">
      <c r="A322" s="10" t="s">
        <v>598</v>
      </c>
      <c r="B322" s="25" t="n">
        <f aca="false">IF($B$320&gt;0,$B$319+$B$321/($B$320*(1-Inputs!$B$71)),0)</f>
        <v>0</v>
      </c>
    </row>
    <row r="323" customFormat="false" ht="15" hidden="false" customHeight="false" outlineLevel="0" collapsed="false">
      <c r="A323" s="13" t="s">
        <v>599</v>
      </c>
      <c r="B323" s="15" t="n">
        <f aca="false">IFERROR(($B$316+$B$321)/($B$317+$B$322),0)</f>
        <v>21.8044064067808</v>
      </c>
    </row>
    <row r="324" customFormat="false" ht="15" hidden="false" customHeight="false" outlineLevel="0" collapsed="false">
      <c r="A324" s="10" t="s">
        <v>600</v>
      </c>
      <c r="B324" s="49" t="str">
        <f aca="false">IF($F$281&gt;Inputs!$B$73,"Not meaningful: funding need above limit",IF(OR($B$285&lt;=0,$B$290&lt;=0),"Not meaningful: 2030 profit or cash flow negative",IF(OR($B$289&lt;=0,$B$293&lt;=0),"Not meaningful: a method gives zero or negative value",IF($B$316&lt;=0,"Not meaningful: value at or below zero","OK"))))</f>
        <v>OK</v>
      </c>
    </row>
    <row r="325" customFormat="false" ht="15" hidden="false" customHeight="false" outlineLevel="0" collapsed="false">
      <c r="A325" s="13" t="s">
        <v>601</v>
      </c>
      <c r="B325" s="15" t="n">
        <f aca="false">IF($B$324="OK",$B$323,"unresolved")</f>
        <v>21.8044064067808</v>
      </c>
    </row>
    <row r="326" customFormat="false" ht="15" hidden="false" customHeight="false" outlineLevel="0" collapsed="false">
      <c r="A326" s="10" t="s">
        <v>602</v>
      </c>
      <c r="B326" s="47" t="n">
        <f aca="false">IF(ISNUMBER($B$325),$B$325*$B$317,"unresolved")</f>
        <v>86.5052576375697</v>
      </c>
    </row>
    <row r="327" customFormat="false" ht="15" hidden="false" customHeight="false" outlineLevel="0" collapsed="false">
      <c r="A327" s="10" t="s">
        <v>603</v>
      </c>
      <c r="B327" s="47" t="n">
        <f aca="false">IFERROR($B$316-$B$273*(1-Inputs!$B$70)-$B$326,"n/a")</f>
        <v>0</v>
      </c>
    </row>
    <row r="329" customFormat="false" ht="15" hidden="false" customHeight="false" outlineLevel="0" collapsed="false">
      <c r="A329" s="8" t="s">
        <v>626</v>
      </c>
      <c r="B329" s="9" t="s">
        <v>495</v>
      </c>
      <c r="C329" s="9" t="s">
        <v>496</v>
      </c>
      <c r="D329" s="9" t="s">
        <v>497</v>
      </c>
      <c r="E329" s="9" t="s">
        <v>498</v>
      </c>
      <c r="F329" s="9" t="s">
        <v>499</v>
      </c>
    </row>
    <row r="330" customFormat="false" ht="15" hidden="false" customHeight="false" outlineLevel="0" collapsed="false">
      <c r="A330" s="10" t="s">
        <v>605</v>
      </c>
      <c r="B330" s="47" t="n">
        <f aca="false">Historicals!$C$73+Inputs!$E$120</f>
        <v>77.31</v>
      </c>
      <c r="C330" s="47" t="n">
        <f aca="false">B330*(1+Inputs!$E$124)</f>
        <v>75.7638</v>
      </c>
      <c r="D330" s="47" t="n">
        <f aca="false">C330*(1+Inputs!$E$125)</f>
        <v>75.7638</v>
      </c>
      <c r="E330" s="47" t="n">
        <f aca="false">D330*(1+Inputs!$E$126)</f>
        <v>76.521438</v>
      </c>
      <c r="F330" s="47" t="n">
        <f aca="false">E330*(1+Inputs!$E$127)</f>
        <v>78.05186676</v>
      </c>
    </row>
    <row r="331" customFormat="false" ht="15" hidden="false" customHeight="false" outlineLevel="0" collapsed="false">
      <c r="A331" s="10" t="s">
        <v>606</v>
      </c>
      <c r="B331" s="47" t="n">
        <f aca="false">Historicals!$C$74+Inputs!$E$121</f>
        <v>11.328</v>
      </c>
      <c r="C331" s="47" t="n">
        <f aca="false">B331*(1+Inputs!$E$128)</f>
        <v>12.4608</v>
      </c>
      <c r="D331" s="47" t="n">
        <f aca="false">C331*(1+Inputs!$E$129)</f>
        <v>13.70688</v>
      </c>
      <c r="E331" s="47" t="n">
        <f aca="false">D331*(1+Inputs!$E$130)</f>
        <v>15.077568</v>
      </c>
      <c r="F331" s="47" t="n">
        <f aca="false">E331*(1+Inputs!$E$131)</f>
        <v>16.5853248</v>
      </c>
    </row>
    <row r="332" customFormat="false" ht="15" hidden="false" customHeight="false" outlineLevel="0" collapsed="false">
      <c r="A332" s="10" t="s">
        <v>607</v>
      </c>
      <c r="B332" s="47" t="n">
        <f aca="false">Historicals!$C$75+Inputs!$E$122</f>
        <v>17.631</v>
      </c>
      <c r="C332" s="47" t="n">
        <f aca="false">B332*(1+Inputs!$E$132)</f>
        <v>19.74672</v>
      </c>
      <c r="D332" s="47" t="n">
        <f aca="false">C332*(1+Inputs!$E$133)</f>
        <v>22.1163264</v>
      </c>
      <c r="E332" s="47" t="n">
        <f aca="false">D332*(1+Inputs!$E$134)</f>
        <v>24.770285568</v>
      </c>
      <c r="F332" s="47" t="n">
        <f aca="false">E332*(1+Inputs!$E$135)</f>
        <v>27.74271983616</v>
      </c>
    </row>
    <row r="333" customFormat="false" ht="15" hidden="false" customHeight="false" outlineLevel="0" collapsed="false">
      <c r="A333" s="10" t="s">
        <v>608</v>
      </c>
      <c r="B333" s="26" t="n">
        <v>0</v>
      </c>
      <c r="C333" s="47" t="n">
        <f aca="false">Inputs!$E$151*Inputs!$E$136</f>
        <v>0</v>
      </c>
      <c r="D333" s="47" t="n">
        <f aca="false">Inputs!$E$151*Inputs!$E$137</f>
        <v>0.5</v>
      </c>
      <c r="E333" s="47" t="n">
        <f aca="false">Inputs!$E$151*Inputs!$E$138</f>
        <v>1</v>
      </c>
      <c r="F333" s="47" t="n">
        <f aca="false">Inputs!$E$151*Inputs!$E$139</f>
        <v>2</v>
      </c>
    </row>
    <row r="334" customFormat="false" ht="15" hidden="false" customHeight="false" outlineLevel="0" collapsed="false">
      <c r="A334" s="13" t="s">
        <v>108</v>
      </c>
      <c r="B334" s="18" t="n">
        <f aca="false">B330+B331+B332+B333</f>
        <v>106.269</v>
      </c>
      <c r="C334" s="18" t="n">
        <f aca="false">C330+C331+C332+C333</f>
        <v>107.97132</v>
      </c>
      <c r="D334" s="18" t="n">
        <f aca="false">D330+D331+D332+D333</f>
        <v>112.0870064</v>
      </c>
      <c r="E334" s="18" t="n">
        <f aca="false">E330+E331+E332+E333</f>
        <v>117.369291568</v>
      </c>
      <c r="F334" s="18" t="n">
        <f aca="false">F330+F331+F332+F333</f>
        <v>124.37991139616</v>
      </c>
    </row>
    <row r="335" customFormat="false" ht="15" hidden="false" customHeight="false" outlineLevel="0" collapsed="false">
      <c r="A335" s="10" t="s">
        <v>501</v>
      </c>
      <c r="C335" s="19" t="n">
        <f aca="false">IFERROR(C334/B334-1,0)</f>
        <v>0.0160189707252352</v>
      </c>
      <c r="D335" s="19" t="n">
        <f aca="false">IFERROR(D334/C334-1,0)</f>
        <v>0.0381183299416918</v>
      </c>
      <c r="E335" s="19" t="n">
        <f aca="false">IFERROR(E334/D334-1,0)</f>
        <v>0.0471266504268064</v>
      </c>
      <c r="F335" s="19" t="n">
        <f aca="false">IFERROR(F334/E334-1,0)</f>
        <v>0.059731295422349</v>
      </c>
    </row>
    <row r="336" customFormat="false" ht="15" hidden="false" customHeight="false" outlineLevel="0" collapsed="false">
      <c r="A336" s="10" t="s">
        <v>609</v>
      </c>
      <c r="C336" s="47" t="n">
        <f aca="false">C330*(Inputs!$E$140+(Inputs!$E$141-Inputs!$E$140)*0/3)</f>
        <v>9.849294</v>
      </c>
      <c r="D336" s="47" t="n">
        <f aca="false">D330*(Inputs!$E$140+(Inputs!$E$141-Inputs!$E$140)*1/3)</f>
        <v>10.10184</v>
      </c>
      <c r="E336" s="47" t="n">
        <f aca="false">E330*(Inputs!$E$140+(Inputs!$E$141-Inputs!$E$140)*2/3)</f>
        <v>10.45792986</v>
      </c>
      <c r="F336" s="47" t="n">
        <f aca="false">F330*(Inputs!$E$140+(Inputs!$E$141-Inputs!$E$140)*3/3)</f>
        <v>10.9272613464</v>
      </c>
    </row>
    <row r="337" customFormat="false" ht="15" hidden="false" customHeight="false" outlineLevel="0" collapsed="false">
      <c r="A337" s="10" t="s">
        <v>610</v>
      </c>
      <c r="C337" s="47" t="n">
        <f aca="false">C331*(Inputs!$E$142+(Inputs!$E$143-Inputs!$E$142)*0/3)</f>
        <v>3.239808</v>
      </c>
      <c r="D337" s="47" t="n">
        <f aca="false">D331*(Inputs!$E$142+(Inputs!$E$143-Inputs!$E$142)*1/3)</f>
        <v>3.5637888</v>
      </c>
      <c r="E337" s="47" t="n">
        <f aca="false">E331*(Inputs!$E$142+(Inputs!$E$143-Inputs!$E$142)*2/3)</f>
        <v>3.92016768</v>
      </c>
      <c r="F337" s="47" t="n">
        <f aca="false">F331*(Inputs!$E$142+(Inputs!$E$143-Inputs!$E$142)*3/3)</f>
        <v>4.312184448</v>
      </c>
    </row>
    <row r="338" customFormat="false" ht="15" hidden="false" customHeight="false" outlineLevel="0" collapsed="false">
      <c r="A338" s="10" t="s">
        <v>611</v>
      </c>
      <c r="C338" s="47" t="n">
        <f aca="false">C332*(Inputs!$E$144+(Inputs!$E$145-Inputs!$E$144)*0/3)</f>
        <v>3.7518768</v>
      </c>
      <c r="D338" s="47" t="n">
        <f aca="false">D332*(Inputs!$E$144+(Inputs!$E$145-Inputs!$E$144)*1/3)</f>
        <v>4.202102016</v>
      </c>
      <c r="E338" s="47" t="n">
        <f aca="false">E332*(Inputs!$E$144+(Inputs!$E$145-Inputs!$E$144)*2/3)</f>
        <v>4.70635425792</v>
      </c>
      <c r="F338" s="47" t="n">
        <f aca="false">F332*(Inputs!$E$144+(Inputs!$E$145-Inputs!$E$144)*3/3)</f>
        <v>5.2711167688704</v>
      </c>
    </row>
    <row r="339" customFormat="false" ht="15" hidden="false" customHeight="false" outlineLevel="0" collapsed="false">
      <c r="A339" s="10" t="s">
        <v>612</v>
      </c>
      <c r="C339" s="47" t="n">
        <f aca="false">C333*(Inputs!$E$146+(Inputs!$E$147-Inputs!$E$146)*0/3)</f>
        <v>-0</v>
      </c>
      <c r="D339" s="47" t="n">
        <f aca="false">D333*(Inputs!$E$146+(Inputs!$E$147-Inputs!$E$146)*1/3)</f>
        <v>-0.095</v>
      </c>
      <c r="E339" s="47" t="n">
        <f aca="false">E333*(Inputs!$E$146+(Inputs!$E$147-Inputs!$E$146)*2/3)</f>
        <v>0.00999999999999995</v>
      </c>
      <c r="F339" s="47" t="n">
        <f aca="false">F333*(Inputs!$E$146+(Inputs!$E$147-Inputs!$E$146)*3/3)</f>
        <v>0.42</v>
      </c>
    </row>
    <row r="340" customFormat="false" ht="15" hidden="false" customHeight="false" outlineLevel="0" collapsed="false">
      <c r="A340" s="10" t="s">
        <v>505</v>
      </c>
      <c r="C340" s="47" t="n">
        <f aca="false">C336+C337+C338+C339</f>
        <v>16.8409788</v>
      </c>
      <c r="D340" s="47" t="n">
        <f aca="false">D336+D337+D338+D339</f>
        <v>17.772730816</v>
      </c>
      <c r="E340" s="47" t="n">
        <f aca="false">E336+E337+E338+E339</f>
        <v>19.09445179792</v>
      </c>
      <c r="F340" s="47" t="n">
        <f aca="false">F336+F337+F338+F339</f>
        <v>20.9305625632704</v>
      </c>
    </row>
    <row r="341" customFormat="false" ht="15" hidden="false" customHeight="false" outlineLevel="0" collapsed="false">
      <c r="A341" s="10" t="s">
        <v>613</v>
      </c>
      <c r="B341" s="47" t="n">
        <f aca="false">(Inputs!$E$120+Inputs!$E$121+Inputs!$E$122)*Inputs!$E$148</f>
        <v>1.104</v>
      </c>
      <c r="C341" s="47" t="n">
        <f aca="false">C334*Inputs!$E$148</f>
        <v>4.3188528</v>
      </c>
      <c r="D341" s="47" t="n">
        <f aca="false">D334*Inputs!$E$148</f>
        <v>4.483480256</v>
      </c>
      <c r="E341" s="47" t="n">
        <f aca="false">E334*Inputs!$E$148</f>
        <v>4.69477166272</v>
      </c>
      <c r="F341" s="47" t="n">
        <f aca="false">F334*Inputs!$E$148</f>
        <v>4.9751964558464</v>
      </c>
    </row>
    <row r="342" customFormat="false" ht="15" hidden="false" customHeight="false" outlineLevel="0" collapsed="false">
      <c r="A342" s="10" t="s">
        <v>614</v>
      </c>
      <c r="B342" s="26" t="n">
        <v>0</v>
      </c>
      <c r="C342" s="26" t="n">
        <v>0</v>
      </c>
      <c r="D342" s="26" t="n">
        <v>0</v>
      </c>
      <c r="E342" s="26" t="n">
        <v>0</v>
      </c>
      <c r="F342" s="26" t="n">
        <v>0</v>
      </c>
    </row>
    <row r="343" customFormat="false" ht="15" hidden="false" customHeight="false" outlineLevel="0" collapsed="false">
      <c r="A343" s="10" t="s">
        <v>615</v>
      </c>
      <c r="B343" s="47" t="n">
        <f aca="false">Historicals!$C$76+Inputs!$B$53/4</f>
        <v>6.748</v>
      </c>
      <c r="C343" s="47" t="n">
        <f aca="false">Inputs!$B$53*MAX(0,MIN(1,(Inputs!$B$57-1+0.5)/Inputs!$B$57))+$B347*IF(1&lt;=Inputs!$B$49,1,0)/Inputs!$B$49+C346*0.5/Inputs!$B$49</f>
        <v>8.07114779166667</v>
      </c>
      <c r="D343" s="47" t="n">
        <f aca="false">Inputs!$B$53*MAX(0,MIN(1,(Inputs!$B$57-2+0.5)/Inputs!$B$57))+$B347*IF(2&lt;=Inputs!$B$49,1,0)/Inputs!$B$49+C346*IF(1&lt;=Inputs!$B$49-1,1,IF(1=Inputs!$B$49,0.5,0))/Inputs!$B$49+D346*0.5/Inputs!$B$49</f>
        <v>8.84606771733333</v>
      </c>
      <c r="E343" s="47" t="n">
        <f aca="false">Inputs!$B$53*MAX(0,MIN(1,(Inputs!$B$57-3+0.5)/Inputs!$B$57))+$B347*IF(3&lt;=Inputs!$B$49,1,0)/Inputs!$B$49+C346*IF(2&lt;=Inputs!$B$49-1,1,IF(2=Inputs!$B$49,0.5,0))/Inputs!$B$49+D346*IF(1&lt;=Inputs!$B$49-1,1,IF(1=Inputs!$B$49,0.5,0))/Inputs!$B$49+E346*0.5/Inputs!$B$49</f>
        <v>9.36676652604334</v>
      </c>
      <c r="F343" s="47" t="n">
        <f aca="false">Inputs!$B$53*MAX(0,MIN(1,(Inputs!$B$57-4+0.5)/Inputs!$B$57))+$B347*IF(4&lt;=Inputs!$B$49,1,0)/Inputs!$B$49+C346*IF(3&lt;=Inputs!$B$49-1,1,IF(3=Inputs!$B$49,0.5,0))/Inputs!$B$49+D346*IF(2&lt;=Inputs!$B$49-1,1,IF(2=Inputs!$B$49,0.5,0))/Inputs!$B$49+E346*IF(1&lt;=Inputs!$B$49-1,1,IF(1=Inputs!$B$49,0.5,0))/Inputs!$B$49+F346*0.5/Inputs!$B$49</f>
        <v>9.6220094244008</v>
      </c>
    </row>
    <row r="344" customFormat="false" ht="15" hidden="false" customHeight="false" outlineLevel="0" collapsed="false">
      <c r="A344" s="13" t="s">
        <v>513</v>
      </c>
      <c r="B344" s="18" t="n">
        <f aca="false">Historicals!$C$72+(Inputs!$E$120+Inputs!$E$121+Inputs!$E$122)*Inputs!$E$123</f>
        <v>2.471</v>
      </c>
      <c r="C344" s="18" t="n">
        <f aca="false">C340-C341-C343</f>
        <v>4.45097820833333</v>
      </c>
      <c r="D344" s="18" t="n">
        <f aca="false">D340-D341-D343</f>
        <v>4.44318284266667</v>
      </c>
      <c r="E344" s="18" t="n">
        <f aca="false">E340-E341-E343</f>
        <v>5.03291360915667</v>
      </c>
      <c r="F344" s="18" t="n">
        <f aca="false">F340-F341-F343</f>
        <v>6.3333566830232</v>
      </c>
    </row>
    <row r="345" customFormat="false" ht="15" hidden="false" customHeight="false" outlineLevel="0" collapsed="false">
      <c r="A345" s="10" t="s">
        <v>514</v>
      </c>
      <c r="B345" s="19" t="n">
        <f aca="false">IFERROR(B344/B334,0)</f>
        <v>0.0232523125276421</v>
      </c>
      <c r="C345" s="19" t="n">
        <f aca="false">IFERROR(C344/C334,0)</f>
        <v>0.0412237083730507</v>
      </c>
      <c r="D345" s="19" t="n">
        <f aca="false">IFERROR(D344/D334,0)</f>
        <v>0.0396404809564677</v>
      </c>
      <c r="E345" s="19" t="n">
        <f aca="false">IFERROR(E344/E334,0)</f>
        <v>0.0428810086686155</v>
      </c>
      <c r="F345" s="19" t="n">
        <f aca="false">IFERROR(F344/F334,0)</f>
        <v>0.0509194500296029</v>
      </c>
    </row>
    <row r="346" customFormat="false" ht="15" hidden="false" customHeight="false" outlineLevel="0" collapsed="false">
      <c r="A346" s="10" t="s">
        <v>616</v>
      </c>
      <c r="B346" s="47" t="n">
        <f aca="false">Inputs!$B$58</f>
        <v>20</v>
      </c>
      <c r="C346" s="47" t="n">
        <f aca="false">C334*(Inputs!$E$149+(Inputs!$E$150-Inputs!$E$149)*0/3)</f>
        <v>16.195698</v>
      </c>
      <c r="D346" s="47" t="n">
        <f aca="false">D334*(Inputs!$E$149+(Inputs!$E$150-Inputs!$E$149)*1/3)</f>
        <v>14.1976874773333</v>
      </c>
      <c r="E346" s="47" t="n">
        <f aca="false">E334*(Inputs!$E$149+(Inputs!$E$150-Inputs!$E$149)*2/3)</f>
        <v>12.1281601286933</v>
      </c>
      <c r="F346" s="47" t="n">
        <f aca="false">F334*(Inputs!$E$149+(Inputs!$E$150-Inputs!$E$149)*3/3)</f>
        <v>9.9503929116928</v>
      </c>
    </row>
    <row r="347" customFormat="false" ht="15" hidden="false" customHeight="false" outlineLevel="0" collapsed="false">
      <c r="A347" s="10" t="s">
        <v>617</v>
      </c>
      <c r="B347" s="47" t="n">
        <f aca="false">Inputs!$B$58-Historicals!$C$78</f>
        <v>6.986</v>
      </c>
    </row>
    <row r="348" customFormat="false" ht="15" hidden="false" customHeight="false" outlineLevel="0" collapsed="false">
      <c r="A348" s="10" t="s">
        <v>618</v>
      </c>
      <c r="C348" s="48" t="n">
        <f aca="false">IFERROR(C346/C343,0)</f>
        <v>2.00661645877948</v>
      </c>
      <c r="D348" s="48" t="n">
        <f aca="false">IFERROR(D346/D343,0)</f>
        <v>1.60497160218589</v>
      </c>
      <c r="E348" s="48" t="n">
        <f aca="false">IFERROR(E346/E343,0)</f>
        <v>1.29480756192355</v>
      </c>
      <c r="F348" s="48" t="n">
        <f aca="false">IFERROR(F346/F343,0)</f>
        <v>1.03412836891006</v>
      </c>
    </row>
    <row r="349" customFormat="false" ht="15" hidden="false" customHeight="false" outlineLevel="0" collapsed="false">
      <c r="A349" s="10" t="s">
        <v>523</v>
      </c>
      <c r="B349" s="47" t="n">
        <f aca="false">B344-Inputs!$B$38*B346+Inputs!$B$38*B343</f>
        <v>-5.4802</v>
      </c>
      <c r="C349" s="47" t="n">
        <f aca="false">C344-Inputs!$B$38*C346+Inputs!$B$38*C343</f>
        <v>-0.423751916666669</v>
      </c>
      <c r="D349" s="47" t="n">
        <f aca="false">D344-Inputs!$B$38*D346+Inputs!$B$38*D343</f>
        <v>1.23221098666667</v>
      </c>
      <c r="E349" s="47" t="n">
        <f aca="false">E344-Inputs!$B$38*E346+Inputs!$B$38*E343</f>
        <v>3.37607744756667</v>
      </c>
      <c r="F349" s="47" t="n">
        <f aca="false">F344-Inputs!$B$38*F346+Inputs!$B$38*F343</f>
        <v>6.136326590648</v>
      </c>
    </row>
    <row r="350" customFormat="false" ht="15" hidden="false" customHeight="false" outlineLevel="0" collapsed="false">
      <c r="A350" s="10" t="s">
        <v>524</v>
      </c>
      <c r="B350" s="47" t="n">
        <f aca="false">MIN(0,MAX(0,B349),1E+099)</f>
        <v>0</v>
      </c>
      <c r="C350" s="47" t="n">
        <f aca="false">MIN(B352,MAX(0,C349),1E+099)</f>
        <v>0</v>
      </c>
      <c r="D350" s="47" t="n">
        <f aca="false">MIN(C352,MAX(0,D349),1E+099)</f>
        <v>1.23221098666667</v>
      </c>
      <c r="E350" s="47" t="n">
        <f aca="false">MIN(D352,MAX(0,E349),1E+099)</f>
        <v>3.37607744756667</v>
      </c>
      <c r="F350" s="47" t="n">
        <f aca="false">MIN(E352,MAX(0,F349),1E+099)</f>
        <v>0.871911565766657</v>
      </c>
    </row>
    <row r="351" customFormat="false" ht="15" hidden="false" customHeight="false" outlineLevel="0" collapsed="false">
      <c r="A351" s="10" t="s">
        <v>525</v>
      </c>
      <c r="B351" s="47" t="n">
        <f aca="false">MIN(0,MAX(0,B349)-B350)</f>
        <v>0</v>
      </c>
      <c r="C351" s="47" t="n">
        <f aca="false">MIN(B353,MAX(0,C349)-C350)</f>
        <v>0</v>
      </c>
      <c r="D351" s="47" t="n">
        <f aca="false">MIN(C353,MAX(0,D349)-D350)</f>
        <v>0</v>
      </c>
      <c r="E351" s="47" t="n">
        <f aca="false">MIN(D353,MAX(0,E349)-E350)</f>
        <v>0</v>
      </c>
      <c r="F351" s="47" t="n">
        <f aca="false">MIN(E353,MAX(0,F349)-F350)</f>
        <v>0.423751916666669</v>
      </c>
    </row>
    <row r="352" customFormat="false" ht="15" hidden="false" customHeight="false" outlineLevel="0" collapsed="false">
      <c r="A352" s="10" t="s">
        <v>526</v>
      </c>
      <c r="B352" s="47" t="n">
        <f aca="false">0-B350+MAX(0,-B349)</f>
        <v>5.4802</v>
      </c>
      <c r="C352" s="47" t="n">
        <f aca="false">B352-C350</f>
        <v>5.4802</v>
      </c>
      <c r="D352" s="47" t="n">
        <f aca="false">C352-D350</f>
        <v>4.24798901333333</v>
      </c>
      <c r="E352" s="47" t="n">
        <f aca="false">D352-E350</f>
        <v>0.871911565766657</v>
      </c>
      <c r="F352" s="47" t="n">
        <f aca="false">E352-F350</f>
        <v>0</v>
      </c>
    </row>
    <row r="353" customFormat="false" ht="15" hidden="false" customHeight="false" outlineLevel="0" collapsed="false">
      <c r="A353" s="10" t="s">
        <v>527</v>
      </c>
      <c r="B353" s="26" t="n">
        <v>0</v>
      </c>
      <c r="C353" s="47" t="n">
        <f aca="false">B353-C351+MAX(0,-C349)</f>
        <v>0.423751916666669</v>
      </c>
      <c r="D353" s="47" t="n">
        <f aca="false">C353-D351+MAX(0,-D349)</f>
        <v>0.423751916666669</v>
      </c>
      <c r="E353" s="47" t="n">
        <f aca="false">D353-E351+MAX(0,-E349)</f>
        <v>0.423751916666669</v>
      </c>
      <c r="F353" s="47" t="n">
        <f aca="false">E353-F351+MAX(0,-F349)</f>
        <v>0</v>
      </c>
    </row>
    <row r="354" customFormat="false" ht="15" hidden="false" customHeight="false" outlineLevel="0" collapsed="false">
      <c r="A354" s="10" t="s">
        <v>528</v>
      </c>
      <c r="B354" s="47" t="n">
        <f aca="false">MAX(0,B349-B350-B351)*Inputs!$B$34</f>
        <v>0</v>
      </c>
      <c r="C354" s="47" t="n">
        <f aca="false">MAX(0,C349-C350-C351)*Inputs!$B$34</f>
        <v>0</v>
      </c>
      <c r="D354" s="47" t="n">
        <f aca="false">MAX(0,D349-D350-D351)*Inputs!$B$34</f>
        <v>0</v>
      </c>
      <c r="E354" s="47" t="n">
        <f aca="false">MAX(0,E349-E350-E351)*Inputs!$B$34</f>
        <v>0</v>
      </c>
      <c r="F354" s="47" t="n">
        <f aca="false">MAX(0,F349-F350-F351)*Inputs!$B$34</f>
        <v>0.193626524328587</v>
      </c>
    </row>
    <row r="355" customFormat="false" ht="15" hidden="false" customHeight="false" outlineLevel="0" collapsed="false">
      <c r="A355" s="10" t="s">
        <v>529</v>
      </c>
      <c r="B355" s="47" t="n">
        <f aca="false">B349-B354</f>
        <v>-5.4802</v>
      </c>
      <c r="C355" s="47" t="n">
        <f aca="false">C349-C354</f>
        <v>-0.423751916666669</v>
      </c>
      <c r="D355" s="47" t="n">
        <f aca="false">D349-D354</f>
        <v>1.23221098666667</v>
      </c>
      <c r="E355" s="47" t="n">
        <f aca="false">E349-E354</f>
        <v>3.37607744756667</v>
      </c>
      <c r="F355" s="47" t="n">
        <f aca="false">F349-F354</f>
        <v>5.94270006631942</v>
      </c>
    </row>
    <row r="356" customFormat="false" ht="15" hidden="false" customHeight="false" outlineLevel="0" collapsed="false">
      <c r="A356" s="10" t="s">
        <v>530</v>
      </c>
      <c r="B356" s="47" t="n">
        <f aca="false">MIN(Inputs!$B$39,Inputs!$B$35*MAX(0,B355),1E+099)</f>
        <v>0</v>
      </c>
      <c r="C356" s="47" t="n">
        <f aca="false">MIN(B358,Inputs!$B$35*MAX(0,C355),1E+099)</f>
        <v>0</v>
      </c>
      <c r="D356" s="47" t="n">
        <f aca="false">MIN(C358,Inputs!$B$35*MAX(0,D355),1E+099)</f>
        <v>0.985768789333339</v>
      </c>
      <c r="E356" s="47" t="n">
        <f aca="false">MIN(D358,Inputs!$B$35*MAX(0,E355),1E+099)</f>
        <v>2.70086195805334</v>
      </c>
      <c r="F356" s="47" t="n">
        <f aca="false">MIN(E358,Inputs!$B$35*MAX(0,F355),1E+099)</f>
        <v>1.79356925261332</v>
      </c>
    </row>
    <row r="357" customFormat="false" ht="15" hidden="false" customHeight="false" outlineLevel="0" collapsed="false">
      <c r="A357" s="10" t="s">
        <v>531</v>
      </c>
      <c r="B357" s="47" t="n">
        <f aca="false">MIN(0,Inputs!$B$35*MAX(0,B355)-B356)</f>
        <v>0</v>
      </c>
      <c r="C357" s="47" t="n">
        <f aca="false">MIN(B359,Inputs!$B$35*MAX(0,C355)-C356)</f>
        <v>0</v>
      </c>
      <c r="D357" s="47" t="n">
        <f aca="false">MIN(C359,Inputs!$B$35*MAX(0,D355)-D356)</f>
        <v>0</v>
      </c>
      <c r="E357" s="47" t="n">
        <f aca="false">MIN(D359,Inputs!$B$35*MAX(0,E355)-E356)</f>
        <v>0</v>
      </c>
      <c r="F357" s="47" t="n">
        <f aca="false">MIN(E359,Inputs!$B$35*MAX(0,F355)-F356)</f>
        <v>0.423751916666669</v>
      </c>
    </row>
    <row r="358" customFormat="false" ht="15" hidden="false" customHeight="false" outlineLevel="0" collapsed="false">
      <c r="A358" s="10" t="s">
        <v>532</v>
      </c>
      <c r="B358" s="47" t="n">
        <f aca="false">Inputs!$B$39-B356+MAX(0,-B355)</f>
        <v>5.4802</v>
      </c>
      <c r="C358" s="47" t="n">
        <f aca="false">B358-C356</f>
        <v>5.4802</v>
      </c>
      <c r="D358" s="47" t="n">
        <f aca="false">C358-D356</f>
        <v>4.49443121066666</v>
      </c>
      <c r="E358" s="47" t="n">
        <f aca="false">D358-E356</f>
        <v>1.79356925261332</v>
      </c>
      <c r="F358" s="47" t="n">
        <f aca="false">E358-F356</f>
        <v>0</v>
      </c>
    </row>
    <row r="359" customFormat="false" ht="15" hidden="false" customHeight="false" outlineLevel="0" collapsed="false">
      <c r="A359" s="10" t="s">
        <v>533</v>
      </c>
      <c r="B359" s="26" t="n">
        <v>0</v>
      </c>
      <c r="C359" s="47" t="n">
        <f aca="false">B359-C357+MAX(0,-C355)</f>
        <v>0.423751916666669</v>
      </c>
      <c r="D359" s="47" t="n">
        <f aca="false">C359-D357+MAX(0,-D355)</f>
        <v>0.423751916666669</v>
      </c>
      <c r="E359" s="47" t="n">
        <f aca="false">D359-E357+MAX(0,-E355)</f>
        <v>0.423751916666669</v>
      </c>
      <c r="F359" s="47" t="n">
        <f aca="false">E359-F357+MAX(0,-F355)</f>
        <v>0</v>
      </c>
    </row>
    <row r="360" customFormat="false" ht="15" hidden="false" customHeight="false" outlineLevel="0" collapsed="false">
      <c r="A360" s="10" t="s">
        <v>534</v>
      </c>
      <c r="B360" s="47" t="n">
        <f aca="false">MAX(0,B355-B356-B357)*Inputs!$B$33</f>
        <v>0</v>
      </c>
      <c r="C360" s="47" t="n">
        <f aca="false">MAX(0,C355-C356-C357)*Inputs!$B$33</f>
        <v>0</v>
      </c>
      <c r="D360" s="47" t="n">
        <f aca="false">MAX(0,D355-D356-D357)*Inputs!$B$33</f>
        <v>0.0517528614400003</v>
      </c>
      <c r="E360" s="47" t="n">
        <f aca="false">MAX(0,E355-E356-E357)*Inputs!$B$33</f>
        <v>0.1417952527978</v>
      </c>
      <c r="F360" s="47" t="n">
        <f aca="false">MAX(0,F355-F356-F357)*Inputs!$B$33</f>
        <v>0.782329568378279</v>
      </c>
    </row>
    <row r="361" customFormat="false" ht="15" hidden="false" customHeight="false" outlineLevel="0" collapsed="false">
      <c r="A361" s="10" t="s">
        <v>535</v>
      </c>
      <c r="B361" s="47" t="n">
        <f aca="false">MIN(0,B360,MAX(0,1E+099-B356)*Inputs!$B$33)</f>
        <v>0</v>
      </c>
      <c r="C361" s="47" t="n">
        <f aca="false">MIN(B362,C360,MAX(0,1E+099-C356)*Inputs!$B$33)</f>
        <v>0</v>
      </c>
      <c r="D361" s="47" t="n">
        <f aca="false">MIN(C362,D360,MAX(0,1E+099-D356)*Inputs!$B$33)</f>
        <v>0</v>
      </c>
      <c r="E361" s="47" t="n">
        <f aca="false">MIN(D362,E360,MAX(0,1E+099-E356)*Inputs!$B$33)</f>
        <v>0</v>
      </c>
      <c r="F361" s="47" t="n">
        <f aca="false">MIN(E362,F360,MAX(0,1E+099-F356)*Inputs!$B$33)</f>
        <v>0</v>
      </c>
    </row>
    <row r="362" customFormat="false" ht="15" hidden="false" customHeight="false" outlineLevel="0" collapsed="false">
      <c r="A362" s="10" t="s">
        <v>536</v>
      </c>
      <c r="B362" s="47" t="n">
        <f aca="false">0-B361</f>
        <v>0</v>
      </c>
      <c r="C362" s="47" t="n">
        <f aca="false">B362-C361</f>
        <v>0</v>
      </c>
      <c r="D362" s="47" t="n">
        <f aca="false">C362-D361</f>
        <v>0</v>
      </c>
      <c r="E362" s="47" t="n">
        <f aca="false">D362-E361</f>
        <v>0</v>
      </c>
      <c r="F362" s="47" t="n">
        <f aca="false">E362-F361</f>
        <v>0</v>
      </c>
    </row>
    <row r="363" customFormat="false" ht="15" hidden="false" customHeight="false" outlineLevel="0" collapsed="false">
      <c r="A363" s="13" t="s">
        <v>537</v>
      </c>
      <c r="B363" s="18" t="n">
        <f aca="false">MAX(0,(Inputs!$E$120+Inputs!$E$121+Inputs!$E$122)*Inputs!$E$123)*Inputs!$B$41</f>
        <v>0.0621</v>
      </c>
      <c r="C363" s="18" t="n">
        <f aca="false">C360-C361+C354</f>
        <v>0</v>
      </c>
      <c r="D363" s="18" t="n">
        <f aca="false">D360-D361+D354</f>
        <v>0.0517528614400003</v>
      </c>
      <c r="E363" s="18" t="n">
        <f aca="false">E360-E361+E354</f>
        <v>0.1417952527978</v>
      </c>
      <c r="F363" s="18" t="n">
        <f aca="false">F360-F361+F354</f>
        <v>0.975956092706866</v>
      </c>
    </row>
    <row r="364" customFormat="false" ht="15" hidden="false" customHeight="false" outlineLevel="0" collapsed="false">
      <c r="A364" s="10" t="s">
        <v>538</v>
      </c>
      <c r="B364" s="47" t="n">
        <f aca="false">0+Inputs!$B$38*(B346-B343)</f>
        <v>7.9512</v>
      </c>
      <c r="C364" s="47" t="n">
        <f aca="false">B364+Inputs!$B$38*(C346-C343)</f>
        <v>12.825930125</v>
      </c>
      <c r="D364" s="47" t="n">
        <f aca="false">C364+Inputs!$B$38*(D346-D343)</f>
        <v>16.036901981</v>
      </c>
      <c r="E364" s="47" t="n">
        <f aca="false">D364+Inputs!$B$38*(E346-E343)</f>
        <v>17.69373814259</v>
      </c>
      <c r="F364" s="47" t="n">
        <f aca="false">E364+Inputs!$B$38*(F346-F343)</f>
        <v>17.8907682349652</v>
      </c>
    </row>
    <row r="365" customFormat="false" ht="15" hidden="false" customHeight="false" outlineLevel="0" collapsed="false">
      <c r="A365" s="10" t="s">
        <v>539</v>
      </c>
      <c r="B365" s="47" t="n">
        <f aca="false">B364*Inputs!$B$79</f>
        <v>1.92100992</v>
      </c>
      <c r="C365" s="47" t="n">
        <f aca="false">C364*Inputs!$B$79</f>
        <v>3.0987447182</v>
      </c>
      <c r="D365" s="47" t="n">
        <f aca="false">D364*Inputs!$B$79</f>
        <v>3.8745155186096</v>
      </c>
      <c r="E365" s="47" t="n">
        <f aca="false">E364*Inputs!$B$79</f>
        <v>4.27480713524974</v>
      </c>
      <c r="F365" s="47" t="n">
        <f aca="false">F364*Inputs!$B$79</f>
        <v>4.32240960556759</v>
      </c>
    </row>
    <row r="366" customFormat="false" ht="15" hidden="false" customHeight="false" outlineLevel="0" collapsed="false">
      <c r="A366" s="10" t="s">
        <v>540</v>
      </c>
      <c r="C366" s="47" t="n">
        <f aca="false">C344-C363</f>
        <v>4.45097820833333</v>
      </c>
      <c r="D366" s="47" t="n">
        <f aca="false">D344-D363</f>
        <v>4.39142998122667</v>
      </c>
      <c r="E366" s="47" t="n">
        <f aca="false">E344-E363</f>
        <v>4.89111835635887</v>
      </c>
      <c r="F366" s="47" t="n">
        <f aca="false">F344-F363</f>
        <v>5.35740059031634</v>
      </c>
    </row>
    <row r="367" customFormat="false" ht="15" hidden="false" customHeight="false" outlineLevel="0" collapsed="false">
      <c r="A367" s="10" t="s">
        <v>541</v>
      </c>
      <c r="C367" s="47" t="n">
        <f aca="false">Inputs!$B$65*(C334-B334)</f>
        <v>0</v>
      </c>
      <c r="D367" s="47" t="n">
        <f aca="false">Inputs!$B$65*(D334-C334)</f>
        <v>0</v>
      </c>
      <c r="E367" s="47" t="n">
        <f aca="false">Inputs!$B$65*(E334-D334)</f>
        <v>0</v>
      </c>
      <c r="F367" s="47" t="n">
        <f aca="false">Inputs!$B$65*(F334-E334)</f>
        <v>0</v>
      </c>
    </row>
    <row r="368" customFormat="false" ht="15" hidden="false" customHeight="false" outlineLevel="0" collapsed="false">
      <c r="A368" s="13" t="s">
        <v>542</v>
      </c>
      <c r="B368" s="18" t="n">
        <f aca="false">B369-B341</f>
        <v>-4.9471</v>
      </c>
      <c r="C368" s="18" t="n">
        <f aca="false">C344+C343-C363-C346-C367</f>
        <v>-3.673572</v>
      </c>
      <c r="D368" s="18" t="n">
        <f aca="false">D344+D343-D363-D346-D367</f>
        <v>-0.960189778773327</v>
      </c>
      <c r="E368" s="18" t="n">
        <f aca="false">E344+E343-E363-E346-E367</f>
        <v>2.12972475370887</v>
      </c>
      <c r="F368" s="18" t="n">
        <f aca="false">F344+F343-F363-F346-F367</f>
        <v>5.02901710302434</v>
      </c>
    </row>
    <row r="369" customFormat="false" ht="15" hidden="false" customHeight="false" outlineLevel="0" collapsed="false">
      <c r="A369" s="10" t="s">
        <v>543</v>
      </c>
      <c r="B369" s="47" t="n">
        <f aca="false">(Inputs!$E$120+Inputs!$E$121+Inputs!$E$122)*Inputs!$E$123+Inputs!$B$53/4+B341-B363-B347</f>
        <v>-3.8431</v>
      </c>
      <c r="C369" s="47" t="n">
        <f aca="false">C368+C341+C342</f>
        <v>0.645280799999997</v>
      </c>
      <c r="D369" s="47" t="n">
        <f aca="false">D368+D341+D342</f>
        <v>3.52329047722667</v>
      </c>
      <c r="E369" s="47" t="n">
        <f aca="false">E368+E341+E342</f>
        <v>6.82449641642887</v>
      </c>
      <c r="F369" s="47" t="n">
        <f aca="false">F368+F341+F342</f>
        <v>10.0042135588707</v>
      </c>
    </row>
    <row r="370" customFormat="false" ht="15" hidden="false" customHeight="false" outlineLevel="0" collapsed="false">
      <c r="A370" s="10" t="s">
        <v>544</v>
      </c>
      <c r="B370" s="47" t="n">
        <f aca="false">Historicals!$B$87</f>
        <v>45.447</v>
      </c>
      <c r="C370" s="47" t="n">
        <f aca="false">B381</f>
        <v>41.8977788944724</v>
      </c>
      <c r="D370" s="47" t="n">
        <f aca="false">C381</f>
        <v>43.6833012983284</v>
      </c>
      <c r="E370" s="47" t="n">
        <f aca="false">D381</f>
        <v>48.4784467362466</v>
      </c>
      <c r="F370" s="47" t="n">
        <f aca="false">E381</f>
        <v>56.8378898851024</v>
      </c>
    </row>
    <row r="371" customFormat="false" ht="15" hidden="false" customHeight="false" outlineLevel="0" collapsed="false">
      <c r="A371" s="10" t="s">
        <v>545</v>
      </c>
      <c r="B371" s="47" t="n">
        <f aca="false">Historicals!$B$88</f>
        <v>9.523</v>
      </c>
      <c r="C371" s="47" t="n">
        <f aca="false">B382</f>
        <v>9.523</v>
      </c>
      <c r="D371" s="47" t="n">
        <f aca="false">C382</f>
        <v>9.523</v>
      </c>
      <c r="E371" s="47" t="n">
        <f aca="false">D382</f>
        <v>9.523</v>
      </c>
      <c r="F371" s="47" t="n">
        <f aca="false">E382</f>
        <v>9.523</v>
      </c>
    </row>
    <row r="372" customFormat="false" ht="15" hidden="false" customHeight="false" outlineLevel="0" collapsed="false">
      <c r="A372" s="10" t="s">
        <v>546</v>
      </c>
      <c r="B372" s="26" t="n">
        <v>0</v>
      </c>
      <c r="C372" s="47" t="n">
        <f aca="false">Inputs!$B$63</f>
        <v>0</v>
      </c>
      <c r="D372" s="26" t="n">
        <v>0</v>
      </c>
      <c r="E372" s="26" t="n">
        <v>0</v>
      </c>
      <c r="F372" s="26" t="n">
        <v>0</v>
      </c>
    </row>
    <row r="373" customFormat="false" ht="15" hidden="false" customHeight="false" outlineLevel="0" collapsed="false">
      <c r="A373" s="10" t="s">
        <v>547</v>
      </c>
      <c r="B373" s="47" t="n">
        <f aca="false">(B370+B369-B372+Inputs!$B$60/4*B370/2-Inputs!$B$61/4*(B371-B372/2))/(1-Inputs!$B$60/4/2)</f>
        <v>41.8977788944724</v>
      </c>
      <c r="C373" s="47" t="n">
        <f aca="false">(C370+C369-C372+Inputs!$B$60*C370/2-Inputs!$B$61*(C371-C372/2))/(1-Inputs!$B$60/2)</f>
        <v>43.6833012983284</v>
      </c>
      <c r="D373" s="47" t="n">
        <f aca="false">(D370+D369-D372+Inputs!$B$60*D370/2-Inputs!$B$61*(D371-D372/2))/(1-Inputs!$B$60/2)</f>
        <v>48.4784467362466</v>
      </c>
      <c r="E373" s="47" t="n">
        <f aca="false">(E370+E369-E372+Inputs!$B$60*E370/2-Inputs!$B$61*(E371-E372/2))/(1-Inputs!$B$60/2)</f>
        <v>56.8378898851024</v>
      </c>
      <c r="F373" s="47" t="n">
        <f aca="false">(F370+F369-F372+Inputs!$B$60*F370/2-Inputs!$B$61*(F371-F372/2))/(1-Inputs!$B$60/2)</f>
        <v>68.7831441241584</v>
      </c>
    </row>
    <row r="374" customFormat="false" ht="15" hidden="false" customHeight="false" outlineLevel="0" collapsed="false">
      <c r="A374" s="10" t="s">
        <v>548</v>
      </c>
      <c r="B374" s="47" t="n">
        <f aca="false">IF(B373&gt;=Inputs!$B$67,0,(Inputs!$B$67-B370-B369+B372-Inputs!$B$60/4*(B370+Inputs!$B$67)/2+Inputs!$B$61/4*(B371-B372/2))/(1-Inputs!$B$61/4*Inputs!$B$69/(2*(1-Inputs!$B$70))))</f>
        <v>0</v>
      </c>
      <c r="C374" s="47" t="n">
        <f aca="false">IF(C373&gt;=Inputs!$B$67,0,(Inputs!$B$67-C370-C369+C372-Inputs!$B$60*(C370+Inputs!$B$67)/2+Inputs!$B$61*(C371-C372/2))/(1-Inputs!$B$61*Inputs!$B$69/(2*(1-Inputs!$B$70))))</f>
        <v>0</v>
      </c>
      <c r="D374" s="47" t="n">
        <f aca="false">IF(D373&gt;=Inputs!$B$67,0,(Inputs!$B$67-D370-D369+D372-Inputs!$B$60*(D370+Inputs!$B$67)/2+Inputs!$B$61*(D371-D372/2))/(1-Inputs!$B$61*Inputs!$B$69/(2*(1-Inputs!$B$70))))</f>
        <v>0</v>
      </c>
      <c r="E374" s="47" t="n">
        <f aca="false">IF(E373&gt;=Inputs!$B$67,0,(Inputs!$B$67-E370-E369+E372-Inputs!$B$60*(E370+Inputs!$B$67)/2+Inputs!$B$61*(E371-E372/2))/(1-Inputs!$B$61*Inputs!$B$69/(2*(1-Inputs!$B$70))))</f>
        <v>0</v>
      </c>
      <c r="F374" s="47" t="n">
        <f aca="false">IF(F373&gt;=Inputs!$B$67,0,(Inputs!$B$67-F370-F369+F372-Inputs!$B$60*(F370+Inputs!$B$67)/2+Inputs!$B$61*(F371-F372/2))/(1-Inputs!$B$61*Inputs!$B$69/(2*(1-Inputs!$B$70))))</f>
        <v>0</v>
      </c>
    </row>
    <row r="375" customFormat="false" ht="15" hidden="false" customHeight="false" outlineLevel="0" collapsed="false">
      <c r="A375" s="10" t="s">
        <v>549</v>
      </c>
      <c r="B375" s="47" t="n">
        <f aca="false">B374/(1-Inputs!$B$70)</f>
        <v>0</v>
      </c>
      <c r="C375" s="47" t="n">
        <f aca="false">C374/(1-Inputs!$B$70)</f>
        <v>0</v>
      </c>
      <c r="D375" s="47" t="n">
        <f aca="false">D374/(1-Inputs!$B$70)</f>
        <v>0</v>
      </c>
      <c r="E375" s="47" t="n">
        <f aca="false">E374/(1-Inputs!$B$70)</f>
        <v>0</v>
      </c>
      <c r="F375" s="47" t="n">
        <f aca="false">F374/(1-Inputs!$B$70)</f>
        <v>0</v>
      </c>
    </row>
    <row r="376" customFormat="false" ht="15" hidden="false" customHeight="false" outlineLevel="0" collapsed="false">
      <c r="A376" s="10" t="s">
        <v>550</v>
      </c>
      <c r="B376" s="47" t="n">
        <f aca="false">B375*Inputs!$B$69</f>
        <v>0</v>
      </c>
      <c r="C376" s="47" t="n">
        <f aca="false">C375*Inputs!$B$69</f>
        <v>0</v>
      </c>
      <c r="D376" s="47" t="n">
        <f aca="false">D375*Inputs!$B$69</f>
        <v>0</v>
      </c>
      <c r="E376" s="47" t="n">
        <f aca="false">E375*Inputs!$B$69</f>
        <v>0</v>
      </c>
      <c r="F376" s="47" t="n">
        <f aca="false">F375*Inputs!$B$69</f>
        <v>0</v>
      </c>
    </row>
    <row r="377" customFormat="false" ht="15" hidden="false" customHeight="false" outlineLevel="0" collapsed="false">
      <c r="A377" s="10" t="s">
        <v>551</v>
      </c>
      <c r="B377" s="47" t="n">
        <f aca="false">B375-B376</f>
        <v>0</v>
      </c>
      <c r="C377" s="47" t="n">
        <f aca="false">C375-C376</f>
        <v>0</v>
      </c>
      <c r="D377" s="47" t="n">
        <f aca="false">D375-D376</f>
        <v>0</v>
      </c>
      <c r="E377" s="47" t="n">
        <f aca="false">E375-E376</f>
        <v>0</v>
      </c>
      <c r="F377" s="47" t="n">
        <f aca="false">F375-F376</f>
        <v>0</v>
      </c>
    </row>
    <row r="378" customFormat="false" ht="15" hidden="false" customHeight="false" outlineLevel="0" collapsed="false">
      <c r="A378" s="10" t="s">
        <v>552</v>
      </c>
      <c r="B378" s="47" t="n">
        <f aca="false">B375-B374</f>
        <v>0</v>
      </c>
      <c r="C378" s="47" t="n">
        <f aca="false">C375-C374</f>
        <v>0</v>
      </c>
      <c r="D378" s="47" t="n">
        <f aca="false">D375-D374</f>
        <v>0</v>
      </c>
      <c r="E378" s="47" t="n">
        <f aca="false">E375-E374</f>
        <v>0</v>
      </c>
      <c r="F378" s="47" t="n">
        <f aca="false">F375-F374</f>
        <v>0</v>
      </c>
    </row>
    <row r="379" customFormat="false" ht="15" hidden="false" customHeight="false" outlineLevel="0" collapsed="false">
      <c r="A379" s="10" t="s">
        <v>553</v>
      </c>
      <c r="B379" s="47" t="n">
        <f aca="false">Inputs!$B$60/4*(B370+B381)/2</f>
        <v>0.436723894472362</v>
      </c>
      <c r="C379" s="47" t="n">
        <f aca="false">Inputs!$B$60*(C370+C381)/2</f>
        <v>1.71162160385602</v>
      </c>
      <c r="D379" s="47" t="n">
        <f aca="false">Inputs!$B$60*(D370+D381)/2</f>
        <v>1.8432349606915</v>
      </c>
      <c r="E379" s="47" t="n">
        <f aca="false">Inputs!$B$60*(E370+E381)/2</f>
        <v>2.10632673242698</v>
      </c>
      <c r="F379" s="47" t="n">
        <f aca="false">Inputs!$B$60*(F370+F381)/2</f>
        <v>2.51242068018522</v>
      </c>
    </row>
    <row r="380" customFormat="false" ht="15" hidden="false" customHeight="false" outlineLevel="0" collapsed="false">
      <c r="A380" s="10" t="s">
        <v>554</v>
      </c>
      <c r="B380" s="47" t="n">
        <f aca="false">Inputs!$B$61/4*(B371-B372/2+B376/2)</f>
        <v>0.142845</v>
      </c>
      <c r="C380" s="47" t="n">
        <f aca="false">Inputs!$B$61*(C371-C372/2+C376/2)</f>
        <v>0.57138</v>
      </c>
      <c r="D380" s="47" t="n">
        <f aca="false">Inputs!$B$61*(D371-D372/2+D376/2)</f>
        <v>0.57138</v>
      </c>
      <c r="E380" s="47" t="n">
        <f aca="false">Inputs!$B$61*(E371-E372/2+E376/2)</f>
        <v>0.57138</v>
      </c>
      <c r="F380" s="47" t="n">
        <f aca="false">Inputs!$B$61*(F371-F372/2+F376/2)</f>
        <v>0.57138</v>
      </c>
    </row>
    <row r="381" customFormat="false" ht="15" hidden="false" customHeight="false" outlineLevel="0" collapsed="false">
      <c r="A381" s="13" t="s">
        <v>555</v>
      </c>
      <c r="B381" s="18" t="n">
        <f aca="false">IF(B374&gt;0,Inputs!$B$67,B373)</f>
        <v>41.8977788944724</v>
      </c>
      <c r="C381" s="18" t="n">
        <f aca="false">IF(C374&gt;0,Inputs!$B$67,C373)</f>
        <v>43.6833012983284</v>
      </c>
      <c r="D381" s="18" t="n">
        <f aca="false">IF(D374&gt;0,Inputs!$B$67,D373)</f>
        <v>48.4784467362466</v>
      </c>
      <c r="E381" s="18" t="n">
        <f aca="false">IF(E374&gt;0,Inputs!$B$67,E373)</f>
        <v>56.8378898851024</v>
      </c>
      <c r="F381" s="18" t="n">
        <f aca="false">IF(F374&gt;0,Inputs!$B$67,F373)</f>
        <v>68.7831441241584</v>
      </c>
    </row>
    <row r="382" customFormat="false" ht="15" hidden="false" customHeight="false" outlineLevel="0" collapsed="false">
      <c r="A382" s="10" t="s">
        <v>556</v>
      </c>
      <c r="B382" s="47" t="n">
        <f aca="false">B371-B372+B376</f>
        <v>9.523</v>
      </c>
      <c r="C382" s="47" t="n">
        <f aca="false">C371-C372+C376</f>
        <v>9.523</v>
      </c>
      <c r="D382" s="47" t="n">
        <f aca="false">D371-D372+D376</f>
        <v>9.523</v>
      </c>
      <c r="E382" s="47" t="n">
        <f aca="false">E371-E372+E376</f>
        <v>9.523</v>
      </c>
      <c r="F382" s="47" t="n">
        <f aca="false">F371-F372+F376</f>
        <v>9.523</v>
      </c>
    </row>
    <row r="383" customFormat="false" ht="15" hidden="false" customHeight="false" outlineLevel="0" collapsed="false">
      <c r="A383" s="13" t="s">
        <v>557</v>
      </c>
      <c r="B383" s="18" t="n">
        <f aca="false">B381-B382</f>
        <v>32.3747788944724</v>
      </c>
      <c r="C383" s="18" t="n">
        <f aca="false">C381-C382</f>
        <v>34.1603012983284</v>
      </c>
      <c r="D383" s="18" t="n">
        <f aca="false">D381-D382</f>
        <v>38.9554467362466</v>
      </c>
      <c r="E383" s="18" t="n">
        <f aca="false">E381-E382</f>
        <v>47.3148898851024</v>
      </c>
      <c r="F383" s="18" t="n">
        <f aca="false">F381-F382</f>
        <v>59.2601441241584</v>
      </c>
    </row>
    <row r="384" customFormat="false" ht="15" hidden="false" customHeight="false" outlineLevel="0" collapsed="false">
      <c r="A384" s="10" t="s">
        <v>558</v>
      </c>
      <c r="B384" s="33" t="n">
        <f aca="false">ROUND(B370+B369-B372+B379-B380+B374-B381,6)</f>
        <v>0</v>
      </c>
      <c r="C384" s="33" t="n">
        <f aca="false">ROUND(C370+C369-C372+C379-C380+C374-C381,6)</f>
        <v>0</v>
      </c>
      <c r="D384" s="33" t="n">
        <f aca="false">ROUND(D370+D369-D372+D379-D380+D374-D381,6)</f>
        <v>0</v>
      </c>
      <c r="E384" s="33" t="n">
        <f aca="false">ROUND(E370+E369-E372+E379-E380+E374-E381,6)</f>
        <v>0</v>
      </c>
      <c r="F384" s="33" t="n">
        <f aca="false">ROUND(F370+F369-F372+F379-F380+F374-F381,6)</f>
        <v>0</v>
      </c>
    </row>
    <row r="385" customFormat="false" ht="15" hidden="false" customHeight="false" outlineLevel="0" collapsed="false">
      <c r="A385" s="10" t="s">
        <v>559</v>
      </c>
      <c r="B385" s="47" t="n">
        <f aca="false">B375</f>
        <v>0</v>
      </c>
      <c r="C385" s="47" t="n">
        <f aca="false">B385+C375</f>
        <v>0</v>
      </c>
      <c r="D385" s="47" t="n">
        <f aca="false">C385+D375</f>
        <v>0</v>
      </c>
      <c r="E385" s="47" t="n">
        <f aca="false">D385+E375</f>
        <v>0</v>
      </c>
      <c r="F385" s="47" t="n">
        <f aca="false">E385+F375</f>
        <v>0</v>
      </c>
    </row>
    <row r="386" customFormat="false" ht="15" hidden="false" customHeight="false" outlineLevel="0" collapsed="false">
      <c r="A386" s="10" t="s">
        <v>560</v>
      </c>
      <c r="B386" s="49" t="str">
        <f aca="false">IF(B385&gt;Inputs!$B$73,"UNFUNDED: above limit",IF(B375&gt;0,"Raising","OK"))</f>
        <v>OK</v>
      </c>
      <c r="C386" s="49" t="str">
        <f aca="false">IF(C385&gt;Inputs!$B$73,"UNFUNDED: above limit",IF(C375&gt;0,"Raising","OK"))</f>
        <v>OK</v>
      </c>
      <c r="D386" s="49" t="str">
        <f aca="false">IF(D385&gt;Inputs!$B$73,"UNFUNDED: above limit",IF(D375&gt;0,"Raising","OK"))</f>
        <v>OK</v>
      </c>
      <c r="E386" s="49" t="str">
        <f aca="false">IF(E385&gt;Inputs!$B$73,"UNFUNDED: above limit",IF(E375&gt;0,"Raising","OK"))</f>
        <v>OK</v>
      </c>
      <c r="F386" s="49" t="str">
        <f aca="false">IF(F385&gt;Inputs!$B$73,"UNFUNDED: above limit",IF(F375&gt;0,"Raising","OK"))</f>
        <v>OK</v>
      </c>
    </row>
    <row r="387" customFormat="false" ht="15" hidden="false" customHeight="false" outlineLevel="0" collapsed="false">
      <c r="A387" s="10" t="s">
        <v>561</v>
      </c>
      <c r="B387" s="47" t="n">
        <f aca="false">$F$344</f>
        <v>6.3333566830232</v>
      </c>
    </row>
    <row r="388" customFormat="false" ht="15" hidden="false" customHeight="false" outlineLevel="0" collapsed="false">
      <c r="A388" s="10" t="s">
        <v>562</v>
      </c>
      <c r="B388" s="19" t="n">
        <f aca="false">IF(Inputs!$B$8=1,Inputs!$B$79,IFERROR($F$363/$F$344,0))</f>
        <v>0.2416</v>
      </c>
    </row>
    <row r="389" customFormat="false" ht="15" hidden="false" customHeight="false" outlineLevel="0" collapsed="false">
      <c r="A389" s="10" t="s">
        <v>563</v>
      </c>
      <c r="B389" s="47" t="n">
        <f aca="false">$B$387*(1-$B$388)</f>
        <v>4.8032177084048</v>
      </c>
    </row>
    <row r="390" customFormat="false" ht="15" hidden="false" customHeight="false" outlineLevel="0" collapsed="false">
      <c r="A390" s="10" t="s">
        <v>564</v>
      </c>
      <c r="B390" s="50" t="n">
        <f aca="false">Inputs!$E$152</f>
        <v>20</v>
      </c>
    </row>
    <row r="391" customFormat="false" ht="15" hidden="false" customHeight="false" outlineLevel="0" collapsed="false">
      <c r="A391" s="10" t="s">
        <v>565</v>
      </c>
      <c r="B391" s="47" t="n">
        <f aca="false">$B$389*$B$390*$F$527</f>
        <v>63.2805656017602</v>
      </c>
    </row>
    <row r="392" customFormat="false" ht="15" hidden="false" customHeight="false" outlineLevel="0" collapsed="false">
      <c r="A392" s="10" t="s">
        <v>566</v>
      </c>
      <c r="B392" s="47" t="n">
        <f aca="false">SUMPRODUCT($C$368:$F$368,$C$527:$F$527)</f>
        <v>0.781169830773897</v>
      </c>
    </row>
    <row r="393" customFormat="false" ht="15" hidden="false" customHeight="false" outlineLevel="0" collapsed="false">
      <c r="A393" s="10" t="s">
        <v>567</v>
      </c>
      <c r="B393" s="18" t="n">
        <f aca="false">$B$391+$B$392</f>
        <v>64.0617354325341</v>
      </c>
    </row>
    <row r="394" customFormat="false" ht="15" hidden="false" customHeight="false" outlineLevel="0" collapsed="false">
      <c r="A394" s="10" t="s">
        <v>568</v>
      </c>
      <c r="B394" s="47" t="n">
        <f aca="false">$B$389+$F$343-$F$346-$F$367</f>
        <v>4.4748342211128</v>
      </c>
    </row>
    <row r="395" customFormat="false" ht="15" hidden="false" customHeight="false" outlineLevel="0" collapsed="false">
      <c r="A395" s="10" t="s">
        <v>569</v>
      </c>
      <c r="B395" s="50" t="n">
        <f aca="false">Inputs!$E$153</f>
        <v>16</v>
      </c>
    </row>
    <row r="396" customFormat="false" ht="15" hidden="false" customHeight="false" outlineLevel="0" collapsed="false">
      <c r="A396" s="10" t="s">
        <v>570</v>
      </c>
      <c r="B396" s="47" t="n">
        <f aca="false">$B$394*$B$395*$F$527</f>
        <v>47.1633904897763</v>
      </c>
    </row>
    <row r="397" customFormat="false" ht="15" hidden="false" customHeight="false" outlineLevel="0" collapsed="false">
      <c r="A397" s="10" t="s">
        <v>571</v>
      </c>
      <c r="B397" s="18" t="n">
        <f aca="false">$B$392+$B$396</f>
        <v>47.9445603205502</v>
      </c>
    </row>
    <row r="398" customFormat="false" ht="15" hidden="false" customHeight="false" outlineLevel="0" collapsed="false">
      <c r="A398" s="13" t="s">
        <v>572</v>
      </c>
      <c r="B398" s="18" t="n">
        <f aca="false">$B$393*Inputs!$B$7+$B$397*(1-Inputs!$B$7)</f>
        <v>56.0031478765421</v>
      </c>
    </row>
    <row r="399" customFormat="false" ht="15" hidden="false" customHeight="false" outlineLevel="0" collapsed="false">
      <c r="A399" s="10" t="s">
        <v>573</v>
      </c>
      <c r="B399" s="47" t="n">
        <f aca="false">MAX(0,$F$349)</f>
        <v>6.136326590648</v>
      </c>
      <c r="H399" s="51" t="n">
        <v>1</v>
      </c>
      <c r="I399" s="51" t="n">
        <v>2</v>
      </c>
      <c r="J399" s="51" t="n">
        <v>3</v>
      </c>
      <c r="K399" s="51" t="n">
        <v>4</v>
      </c>
      <c r="L399" s="51" t="n">
        <v>5</v>
      </c>
      <c r="M399" s="51" t="n">
        <v>6</v>
      </c>
      <c r="N399" s="51" t="n">
        <v>7</v>
      </c>
      <c r="O399" s="51" t="n">
        <v>8</v>
      </c>
      <c r="P399" s="51" t="n">
        <v>9</v>
      </c>
      <c r="Q399" s="51" t="n">
        <v>10</v>
      </c>
      <c r="R399" s="51" t="n">
        <v>11</v>
      </c>
      <c r="S399" s="51" t="n">
        <v>12</v>
      </c>
      <c r="T399" s="51" t="n">
        <v>13</v>
      </c>
      <c r="U399" s="51" t="n">
        <v>14</v>
      </c>
      <c r="V399" s="51" t="n">
        <v>15</v>
      </c>
      <c r="W399" s="51" t="n">
        <v>16</v>
      </c>
      <c r="X399" s="51" t="n">
        <v>17</v>
      </c>
      <c r="Y399" s="51" t="n">
        <v>18</v>
      </c>
      <c r="Z399" s="51" t="n">
        <v>19</v>
      </c>
      <c r="AA399" s="51" t="n">
        <v>20</v>
      </c>
      <c r="AB399" s="51" t="n">
        <v>21</v>
      </c>
      <c r="AC399" s="51" t="n">
        <v>22</v>
      </c>
      <c r="AD399" s="51" t="n">
        <v>23</v>
      </c>
      <c r="AE399" s="51" t="n">
        <v>24</v>
      </c>
      <c r="AF399" s="51" t="n">
        <v>25</v>
      </c>
      <c r="AG399" s="51" t="n">
        <v>26</v>
      </c>
      <c r="AH399" s="51" t="n">
        <v>27</v>
      </c>
      <c r="AI399" s="51" t="n">
        <v>28</v>
      </c>
      <c r="AJ399" s="51" t="n">
        <v>29</v>
      </c>
      <c r="AK399" s="51" t="n">
        <v>30</v>
      </c>
    </row>
    <row r="400" customFormat="false" ht="15" hidden="false" customHeight="false" outlineLevel="0" collapsed="false">
      <c r="A400" s="10" t="s">
        <v>574</v>
      </c>
      <c r="H400" s="25" t="n">
        <f aca="false">1/(1+Inputs!$B$6)^1</f>
        <v>0.900900900900901</v>
      </c>
      <c r="I400" s="25" t="n">
        <f aca="false">1/(1+Inputs!$B$6)^2</f>
        <v>0.811622433244055</v>
      </c>
      <c r="J400" s="25" t="n">
        <f aca="false">1/(1+Inputs!$B$6)^3</f>
        <v>0.73119138130095</v>
      </c>
      <c r="K400" s="25" t="n">
        <f aca="false">1/(1+Inputs!$B$6)^4</f>
        <v>0.658730974145</v>
      </c>
      <c r="L400" s="25" t="n">
        <f aca="false">1/(1+Inputs!$B$6)^5</f>
        <v>0.593451328058559</v>
      </c>
      <c r="M400" s="25" t="n">
        <f aca="false">1/(1+Inputs!$B$6)^6</f>
        <v>0.534640836088791</v>
      </c>
      <c r="N400" s="25" t="n">
        <f aca="false">1/(1+Inputs!$B$6)^7</f>
        <v>0.481658410890803</v>
      </c>
      <c r="O400" s="25" t="n">
        <f aca="false">1/(1+Inputs!$B$6)^8</f>
        <v>0.433926496298021</v>
      </c>
      <c r="P400" s="25" t="n">
        <f aca="false">1/(1+Inputs!$B$6)^9</f>
        <v>0.390924771439658</v>
      </c>
      <c r="Q400" s="25" t="n">
        <f aca="false">1/(1+Inputs!$B$6)^10</f>
        <v>0.352184478774467</v>
      </c>
      <c r="R400" s="25" t="n">
        <f aca="false">1/(1+Inputs!$B$6)^11</f>
        <v>0.317283314211231</v>
      </c>
      <c r="S400" s="25" t="n">
        <f aca="false">1/(1+Inputs!$B$6)^12</f>
        <v>0.285840823613722</v>
      </c>
      <c r="T400" s="25" t="n">
        <f aca="false">1/(1+Inputs!$B$6)^13</f>
        <v>0.257514255507858</v>
      </c>
      <c r="U400" s="25" t="n">
        <f aca="false">1/(1+Inputs!$B$6)^14</f>
        <v>0.231994824781854</v>
      </c>
      <c r="V400" s="25" t="n">
        <f aca="false">1/(1+Inputs!$B$6)^15</f>
        <v>0.209004346650319</v>
      </c>
      <c r="W400" s="25" t="n">
        <f aca="false">1/(1+Inputs!$B$6)^16</f>
        <v>0.188292204189476</v>
      </c>
      <c r="X400" s="25" t="n">
        <f aca="false">1/(1+Inputs!$B$6)^17</f>
        <v>0.169632616386915</v>
      </c>
      <c r="Y400" s="25" t="n">
        <f aca="false">1/(1+Inputs!$B$6)^18</f>
        <v>0.152822176925149</v>
      </c>
      <c r="Z400" s="25" t="n">
        <f aca="false">1/(1+Inputs!$B$6)^19</f>
        <v>0.137677636869504</v>
      </c>
      <c r="AA400" s="25" t="n">
        <f aca="false">1/(1+Inputs!$B$6)^20</f>
        <v>0.124033907089643</v>
      </c>
      <c r="AB400" s="25" t="n">
        <f aca="false">1/(1+Inputs!$B$6)^21</f>
        <v>0.111742258639318</v>
      </c>
      <c r="AC400" s="25" t="n">
        <f aca="false">1/(1+Inputs!$B$6)^22</f>
        <v>0.100668701476863</v>
      </c>
      <c r="AD400" s="25" t="n">
        <f aca="false">1/(1+Inputs!$B$6)^23</f>
        <v>0.0906925238530297</v>
      </c>
      <c r="AE400" s="25" t="n">
        <f aca="false">1/(1+Inputs!$B$6)^24</f>
        <v>0.0817049764441709</v>
      </c>
      <c r="AF400" s="25" t="n">
        <f aca="false">1/(1+Inputs!$B$6)^25</f>
        <v>0.0736080868866405</v>
      </c>
      <c r="AG400" s="25" t="n">
        <f aca="false">1/(1+Inputs!$B$6)^26</f>
        <v>0.0663135917897662</v>
      </c>
      <c r="AH400" s="25" t="n">
        <f aca="false">1/(1+Inputs!$B$6)^27</f>
        <v>0.0597419745853749</v>
      </c>
      <c r="AI400" s="25" t="n">
        <f aca="false">1/(1+Inputs!$B$6)^28</f>
        <v>0.053821598725563</v>
      </c>
      <c r="AJ400" s="25" t="n">
        <f aca="false">1/(1+Inputs!$B$6)^29</f>
        <v>0.0484879267797865</v>
      </c>
      <c r="AK400" s="25" t="n">
        <f aca="false">1/(1+Inputs!$B$6)^30</f>
        <v>0.0436828169187266</v>
      </c>
    </row>
    <row r="401" customFormat="false" ht="15" hidden="false" customHeight="false" outlineLevel="0" collapsed="false">
      <c r="A401" s="10" t="s">
        <v>575</v>
      </c>
      <c r="G401" s="47" t="n">
        <f aca="false">$F$352</f>
        <v>0</v>
      </c>
      <c r="H401" s="47" t="n">
        <f aca="false">G401</f>
        <v>0</v>
      </c>
      <c r="I401" s="47" t="n">
        <f aca="false">H401-H402</f>
        <v>0</v>
      </c>
      <c r="J401" s="47" t="n">
        <f aca="false">I401-I402</f>
        <v>0</v>
      </c>
      <c r="K401" s="47" t="n">
        <f aca="false">J401-J402</f>
        <v>0</v>
      </c>
      <c r="L401" s="47" t="n">
        <f aca="false">K401-K402</f>
        <v>0</v>
      </c>
      <c r="M401" s="47" t="n">
        <f aca="false">L401-L402</f>
        <v>0</v>
      </c>
      <c r="N401" s="47" t="n">
        <f aca="false">M401-M402</f>
        <v>0</v>
      </c>
      <c r="O401" s="47" t="n">
        <f aca="false">N401-N402</f>
        <v>0</v>
      </c>
      <c r="P401" s="47" t="n">
        <f aca="false">O401-O402</f>
        <v>0</v>
      </c>
      <c r="Q401" s="47" t="n">
        <f aca="false">P401-P402</f>
        <v>0</v>
      </c>
      <c r="R401" s="47" t="n">
        <f aca="false">Q401-Q402</f>
        <v>0</v>
      </c>
      <c r="S401" s="47" t="n">
        <f aca="false">R401-R402</f>
        <v>0</v>
      </c>
      <c r="T401" s="47" t="n">
        <f aca="false">S401-S402</f>
        <v>0</v>
      </c>
      <c r="U401" s="47" t="n">
        <f aca="false">T401-T402</f>
        <v>0</v>
      </c>
      <c r="V401" s="47" t="n">
        <f aca="false">U401-U402</f>
        <v>0</v>
      </c>
      <c r="W401" s="47" t="n">
        <f aca="false">V401-V402</f>
        <v>0</v>
      </c>
      <c r="X401" s="47" t="n">
        <f aca="false">W401-W402</f>
        <v>0</v>
      </c>
      <c r="Y401" s="47" t="n">
        <f aca="false">X401-X402</f>
        <v>0</v>
      </c>
      <c r="Z401" s="47" t="n">
        <f aca="false">Y401-Y402</f>
        <v>0</v>
      </c>
      <c r="AA401" s="47" t="n">
        <f aca="false">Z401-Z402</f>
        <v>0</v>
      </c>
      <c r="AB401" s="47" t="n">
        <f aca="false">AA401-AA402</f>
        <v>0</v>
      </c>
      <c r="AC401" s="47" t="n">
        <f aca="false">AB401-AB402</f>
        <v>0</v>
      </c>
      <c r="AD401" s="47" t="n">
        <f aca="false">AC401-AC402</f>
        <v>0</v>
      </c>
      <c r="AE401" s="47" t="n">
        <f aca="false">AD401-AD402</f>
        <v>0</v>
      </c>
      <c r="AF401" s="47" t="n">
        <f aca="false">AE401-AE402</f>
        <v>0</v>
      </c>
      <c r="AG401" s="47" t="n">
        <f aca="false">AF401-AF402</f>
        <v>0</v>
      </c>
      <c r="AH401" s="47" t="n">
        <f aca="false">AG401-AG402</f>
        <v>0</v>
      </c>
      <c r="AI401" s="47" t="n">
        <f aca="false">AH401-AH402</f>
        <v>0</v>
      </c>
      <c r="AJ401" s="47" t="n">
        <f aca="false">AI401-AI402</f>
        <v>0</v>
      </c>
      <c r="AK401" s="47" t="n">
        <f aca="false">AJ401-AJ402</f>
        <v>0</v>
      </c>
    </row>
    <row r="402" customFormat="false" ht="15" hidden="false" customHeight="false" outlineLevel="0" collapsed="false">
      <c r="A402" s="10" t="s">
        <v>576</v>
      </c>
      <c r="H402" s="47" t="n">
        <f aca="false">IF(1&lt;=Inputs!$B$44,MIN(H401,$B$399,1E+099),0)</f>
        <v>0</v>
      </c>
      <c r="I402" s="47" t="n">
        <f aca="false">IF(2&lt;=Inputs!$B$44,MIN(I401,$B$399,1E+099),0)</f>
        <v>0</v>
      </c>
      <c r="J402" s="47" t="n">
        <f aca="false">IF(3&lt;=Inputs!$B$44,MIN(J401,$B$399,1E+099),0)</f>
        <v>0</v>
      </c>
      <c r="K402" s="47" t="n">
        <f aca="false">IF(4&lt;=Inputs!$B$44,MIN(K401,$B$399,1E+099),0)</f>
        <v>0</v>
      </c>
      <c r="L402" s="47" t="n">
        <f aca="false">IF(5&lt;=Inputs!$B$44,MIN(L401,$B$399,1E+099),0)</f>
        <v>0</v>
      </c>
      <c r="M402" s="47" t="n">
        <f aca="false">IF(6&lt;=Inputs!$B$44,MIN(M401,$B$399,1E+099),0)</f>
        <v>0</v>
      </c>
      <c r="N402" s="47" t="n">
        <f aca="false">IF(7&lt;=Inputs!$B$44,MIN(N401,$B$399,1E+099),0)</f>
        <v>0</v>
      </c>
      <c r="O402" s="47" t="n">
        <f aca="false">IF(8&lt;=Inputs!$B$44,MIN(O401,$B$399,1E+099),0)</f>
        <v>0</v>
      </c>
      <c r="P402" s="47" t="n">
        <f aca="false">IF(9&lt;=Inputs!$B$44,MIN(P401,$B$399,1E+099),0)</f>
        <v>0</v>
      </c>
      <c r="Q402" s="47" t="n">
        <f aca="false">IF(10&lt;=Inputs!$B$44,MIN(Q401,$B$399,1E+099),0)</f>
        <v>0</v>
      </c>
      <c r="R402" s="47" t="n">
        <f aca="false">IF(11&lt;=Inputs!$B$44,MIN(R401,$B$399,1E+099),0)</f>
        <v>0</v>
      </c>
      <c r="S402" s="47" t="n">
        <f aca="false">IF(12&lt;=Inputs!$B$44,MIN(S401,$B$399,1E+099),0)</f>
        <v>0</v>
      </c>
      <c r="T402" s="47" t="n">
        <f aca="false">IF(13&lt;=Inputs!$B$44,MIN(T401,$B$399,1E+099),0)</f>
        <v>0</v>
      </c>
      <c r="U402" s="47" t="n">
        <f aca="false">IF(14&lt;=Inputs!$B$44,MIN(U401,$B$399,1E+099),0)</f>
        <v>0</v>
      </c>
      <c r="V402" s="47" t="n">
        <f aca="false">IF(15&lt;=Inputs!$B$44,MIN(V401,$B$399,1E+099),0)</f>
        <v>0</v>
      </c>
      <c r="W402" s="47" t="n">
        <f aca="false">IF(16&lt;=Inputs!$B$44,MIN(W401,$B$399,1E+099),0)</f>
        <v>0</v>
      </c>
      <c r="X402" s="47" t="n">
        <f aca="false">IF(17&lt;=Inputs!$B$44,MIN(X401,$B$399,1E+099),0)</f>
        <v>0</v>
      </c>
      <c r="Y402" s="47" t="n">
        <f aca="false">IF(18&lt;=Inputs!$B$44,MIN(Y401,$B$399,1E+099),0)</f>
        <v>0</v>
      </c>
      <c r="Z402" s="47" t="n">
        <f aca="false">IF(19&lt;=Inputs!$B$44,MIN(Z401,$B$399,1E+099),0)</f>
        <v>0</v>
      </c>
      <c r="AA402" s="47" t="n">
        <f aca="false">IF(20&lt;=Inputs!$B$44,MIN(AA401,$B$399,1E+099),0)</f>
        <v>0</v>
      </c>
      <c r="AB402" s="47" t="n">
        <f aca="false">IF(21&lt;=Inputs!$B$44,MIN(AB401,$B$399,1E+099),0)</f>
        <v>0</v>
      </c>
      <c r="AC402" s="47" t="n">
        <f aca="false">IF(22&lt;=Inputs!$B$44,MIN(AC401,$B$399,1E+099),0)</f>
        <v>0</v>
      </c>
      <c r="AD402" s="47" t="n">
        <f aca="false">IF(23&lt;=Inputs!$B$44,MIN(AD401,$B$399,1E+099),0)</f>
        <v>0</v>
      </c>
      <c r="AE402" s="47" t="n">
        <f aca="false">IF(24&lt;=Inputs!$B$44,MIN(AE401,$B$399,1E+099),0)</f>
        <v>0</v>
      </c>
      <c r="AF402" s="47" t="n">
        <f aca="false">IF(25&lt;=Inputs!$B$44,MIN(AF401,$B$399,1E+099),0)</f>
        <v>0</v>
      </c>
      <c r="AG402" s="47" t="n">
        <f aca="false">IF(26&lt;=Inputs!$B$44,MIN(AG401,$B$399,1E+099),0)</f>
        <v>0</v>
      </c>
      <c r="AH402" s="47" t="n">
        <f aca="false">IF(27&lt;=Inputs!$B$44,MIN(AH401,$B$399,1E+099),0)</f>
        <v>0</v>
      </c>
      <c r="AI402" s="47" t="n">
        <f aca="false">IF(28&lt;=Inputs!$B$44,MIN(AI401,$B$399,1E+099),0)</f>
        <v>0</v>
      </c>
      <c r="AJ402" s="47" t="n">
        <f aca="false">IF(29&lt;=Inputs!$B$44,MIN(AJ401,$B$399,1E+099),0)</f>
        <v>0</v>
      </c>
      <c r="AK402" s="47" t="n">
        <f aca="false">IF(30&lt;=Inputs!$B$44,MIN(AK401,$B$399,1E+099),0)</f>
        <v>0</v>
      </c>
    </row>
    <row r="403" customFormat="false" ht="15" hidden="false" customHeight="false" outlineLevel="0" collapsed="false">
      <c r="A403" s="10" t="s">
        <v>577</v>
      </c>
      <c r="G403" s="47" t="n">
        <f aca="false">$F$353</f>
        <v>0</v>
      </c>
      <c r="H403" s="47" t="n">
        <f aca="false">G403</f>
        <v>0</v>
      </c>
      <c r="I403" s="47" t="n">
        <f aca="false">H403-H404</f>
        <v>0</v>
      </c>
      <c r="J403" s="47" t="n">
        <f aca="false">I403-I404</f>
        <v>0</v>
      </c>
      <c r="K403" s="47" t="n">
        <f aca="false">J403-J404</f>
        <v>0</v>
      </c>
      <c r="L403" s="47" t="n">
        <f aca="false">K403-K404</f>
        <v>0</v>
      </c>
      <c r="M403" s="47" t="n">
        <f aca="false">L403-L404</f>
        <v>0</v>
      </c>
      <c r="N403" s="47" t="n">
        <f aca="false">M403-M404</f>
        <v>0</v>
      </c>
      <c r="O403" s="47" t="n">
        <f aca="false">N403-N404</f>
        <v>0</v>
      </c>
      <c r="P403" s="47" t="n">
        <f aca="false">O403-O404</f>
        <v>0</v>
      </c>
      <c r="Q403" s="47" t="n">
        <f aca="false">P403-P404</f>
        <v>0</v>
      </c>
      <c r="R403" s="47" t="n">
        <f aca="false">Q403-Q404</f>
        <v>0</v>
      </c>
      <c r="S403" s="47" t="n">
        <f aca="false">R403-R404</f>
        <v>0</v>
      </c>
      <c r="T403" s="47" t="n">
        <f aca="false">S403-S404</f>
        <v>0</v>
      </c>
      <c r="U403" s="47" t="n">
        <f aca="false">T403-T404</f>
        <v>0</v>
      </c>
      <c r="V403" s="47" t="n">
        <f aca="false">U403-U404</f>
        <v>0</v>
      </c>
      <c r="W403" s="47" t="n">
        <f aca="false">V403-V404</f>
        <v>0</v>
      </c>
      <c r="X403" s="47" t="n">
        <f aca="false">W403-W404</f>
        <v>0</v>
      </c>
      <c r="Y403" s="47" t="n">
        <f aca="false">X403-X404</f>
        <v>0</v>
      </c>
      <c r="Z403" s="47" t="n">
        <f aca="false">Y403-Y404</f>
        <v>0</v>
      </c>
      <c r="AA403" s="47" t="n">
        <f aca="false">Z403-Z404</f>
        <v>0</v>
      </c>
      <c r="AB403" s="47" t="n">
        <f aca="false">AA403-AA404</f>
        <v>0</v>
      </c>
      <c r="AC403" s="47" t="n">
        <f aca="false">AB403-AB404</f>
        <v>0</v>
      </c>
      <c r="AD403" s="47" t="n">
        <f aca="false">AC403-AC404</f>
        <v>0</v>
      </c>
      <c r="AE403" s="47" t="n">
        <f aca="false">AD403-AD404</f>
        <v>0</v>
      </c>
      <c r="AF403" s="47" t="n">
        <f aca="false">AE403-AE404</f>
        <v>0</v>
      </c>
      <c r="AG403" s="47" t="n">
        <f aca="false">AF403-AF404</f>
        <v>0</v>
      </c>
      <c r="AH403" s="47" t="n">
        <f aca="false">AG403-AG404</f>
        <v>0</v>
      </c>
      <c r="AI403" s="47" t="n">
        <f aca="false">AH403-AH404</f>
        <v>0</v>
      </c>
      <c r="AJ403" s="47" t="n">
        <f aca="false">AI403-AI404</f>
        <v>0</v>
      </c>
      <c r="AK403" s="47" t="n">
        <f aca="false">AJ403-AJ404</f>
        <v>0</v>
      </c>
    </row>
    <row r="404" customFormat="false" ht="15" hidden="false" customHeight="false" outlineLevel="0" collapsed="false">
      <c r="A404" s="10" t="s">
        <v>576</v>
      </c>
      <c r="H404" s="47" t="n">
        <f aca="false">IF(1&lt;=Inputs!$B$44,MIN(H403,$B$399-H402),0)</f>
        <v>0</v>
      </c>
      <c r="I404" s="47" t="n">
        <f aca="false">IF(2&lt;=Inputs!$B$44,MIN(I403,$B$399-I402),0)</f>
        <v>0</v>
      </c>
      <c r="J404" s="47" t="n">
        <f aca="false">IF(3&lt;=Inputs!$B$44,MIN(J403,$B$399-J402),0)</f>
        <v>0</v>
      </c>
      <c r="K404" s="47" t="n">
        <f aca="false">IF(4&lt;=Inputs!$B$44,MIN(K403,$B$399-K402),0)</f>
        <v>0</v>
      </c>
      <c r="L404" s="47" t="n">
        <f aca="false">IF(5&lt;=Inputs!$B$44,MIN(L403,$B$399-L402),0)</f>
        <v>0</v>
      </c>
      <c r="M404" s="47" t="n">
        <f aca="false">IF(6&lt;=Inputs!$B$44,MIN(M403,$B$399-M402),0)</f>
        <v>0</v>
      </c>
      <c r="N404" s="47" t="n">
        <f aca="false">IF(7&lt;=Inputs!$B$44,MIN(N403,$B$399-N402),0)</f>
        <v>0</v>
      </c>
      <c r="O404" s="47" t="n">
        <f aca="false">IF(8&lt;=Inputs!$B$44,MIN(O403,$B$399-O402),0)</f>
        <v>0</v>
      </c>
      <c r="P404" s="47" t="n">
        <f aca="false">IF(9&lt;=Inputs!$B$44,MIN(P403,$B$399-P402),0)</f>
        <v>0</v>
      </c>
      <c r="Q404" s="47" t="n">
        <f aca="false">IF(10&lt;=Inputs!$B$44,MIN(Q403,$B$399-Q402),0)</f>
        <v>0</v>
      </c>
      <c r="R404" s="47" t="n">
        <f aca="false">IF(11&lt;=Inputs!$B$44,MIN(R403,$B$399-R402),0)</f>
        <v>0</v>
      </c>
      <c r="S404" s="47" t="n">
        <f aca="false">IF(12&lt;=Inputs!$B$44,MIN(S403,$B$399-S402),0)</f>
        <v>0</v>
      </c>
      <c r="T404" s="47" t="n">
        <f aca="false">IF(13&lt;=Inputs!$B$44,MIN(T403,$B$399-T402),0)</f>
        <v>0</v>
      </c>
      <c r="U404" s="47" t="n">
        <f aca="false">IF(14&lt;=Inputs!$B$44,MIN(U403,$B$399-U402),0)</f>
        <v>0</v>
      </c>
      <c r="V404" s="47" t="n">
        <f aca="false">IF(15&lt;=Inputs!$B$44,MIN(V403,$B$399-V402),0)</f>
        <v>0</v>
      </c>
      <c r="W404" s="47" t="n">
        <f aca="false">IF(16&lt;=Inputs!$B$44,MIN(W403,$B$399-W402),0)</f>
        <v>0</v>
      </c>
      <c r="X404" s="47" t="n">
        <f aca="false">IF(17&lt;=Inputs!$B$44,MIN(X403,$B$399-X402),0)</f>
        <v>0</v>
      </c>
      <c r="Y404" s="47" t="n">
        <f aca="false">IF(18&lt;=Inputs!$B$44,MIN(Y403,$B$399-Y402),0)</f>
        <v>0</v>
      </c>
      <c r="Z404" s="47" t="n">
        <f aca="false">IF(19&lt;=Inputs!$B$44,MIN(Z403,$B$399-Z402),0)</f>
        <v>0</v>
      </c>
      <c r="AA404" s="47" t="n">
        <f aca="false">IF(20&lt;=Inputs!$B$44,MIN(AA403,$B$399-AA402),0)</f>
        <v>0</v>
      </c>
      <c r="AB404" s="47" t="n">
        <f aca="false">IF(21&lt;=Inputs!$B$44,MIN(AB403,$B$399-AB402),0)</f>
        <v>0</v>
      </c>
      <c r="AC404" s="47" t="n">
        <f aca="false">IF(22&lt;=Inputs!$B$44,MIN(AC403,$B$399-AC402),0)</f>
        <v>0</v>
      </c>
      <c r="AD404" s="47" t="n">
        <f aca="false">IF(23&lt;=Inputs!$B$44,MIN(AD403,$B$399-AD402),0)</f>
        <v>0</v>
      </c>
      <c r="AE404" s="47" t="n">
        <f aca="false">IF(24&lt;=Inputs!$B$44,MIN(AE403,$B$399-AE402),0)</f>
        <v>0</v>
      </c>
      <c r="AF404" s="47" t="n">
        <f aca="false">IF(25&lt;=Inputs!$B$44,MIN(AF403,$B$399-AF402),0)</f>
        <v>0</v>
      </c>
      <c r="AG404" s="47" t="n">
        <f aca="false">IF(26&lt;=Inputs!$B$44,MIN(AG403,$B$399-AG402),0)</f>
        <v>0</v>
      </c>
      <c r="AH404" s="47" t="n">
        <f aca="false">IF(27&lt;=Inputs!$B$44,MIN(AH403,$B$399-AH402),0)</f>
        <v>0</v>
      </c>
      <c r="AI404" s="47" t="n">
        <f aca="false">IF(28&lt;=Inputs!$B$44,MIN(AI403,$B$399-AI402),0)</f>
        <v>0</v>
      </c>
      <c r="AJ404" s="47" t="n">
        <f aca="false">IF(29&lt;=Inputs!$B$44,MIN(AJ403,$B$399-AJ402),0)</f>
        <v>0</v>
      </c>
      <c r="AK404" s="47" t="n">
        <f aca="false">IF(30&lt;=Inputs!$B$44,MIN(AK403,$B$399-AK402),0)</f>
        <v>0</v>
      </c>
    </row>
    <row r="405" customFormat="false" ht="15" hidden="false" customHeight="false" outlineLevel="0" collapsed="false">
      <c r="A405" s="10" t="s">
        <v>578</v>
      </c>
      <c r="H405" s="47" t="n">
        <f aca="false">($B$399-H402-H404)*Inputs!$B$34</f>
        <v>0.24545306362592</v>
      </c>
      <c r="I405" s="47" t="n">
        <f aca="false">($B$399-I402-I404)*Inputs!$B$34</f>
        <v>0.24545306362592</v>
      </c>
      <c r="J405" s="47" t="n">
        <f aca="false">($B$399-J402-J404)*Inputs!$B$34</f>
        <v>0.24545306362592</v>
      </c>
      <c r="K405" s="47" t="n">
        <f aca="false">($B$399-K402-K404)*Inputs!$B$34</f>
        <v>0.24545306362592</v>
      </c>
      <c r="L405" s="47" t="n">
        <f aca="false">($B$399-L402-L404)*Inputs!$B$34</f>
        <v>0.24545306362592</v>
      </c>
      <c r="M405" s="47" t="n">
        <f aca="false">($B$399-M402-M404)*Inputs!$B$34</f>
        <v>0.24545306362592</v>
      </c>
      <c r="N405" s="47" t="n">
        <f aca="false">($B$399-N402-N404)*Inputs!$B$34</f>
        <v>0.24545306362592</v>
      </c>
      <c r="O405" s="47" t="n">
        <f aca="false">($B$399-O402-O404)*Inputs!$B$34</f>
        <v>0.24545306362592</v>
      </c>
      <c r="P405" s="47" t="n">
        <f aca="false">($B$399-P402-P404)*Inputs!$B$34</f>
        <v>0.24545306362592</v>
      </c>
      <c r="Q405" s="47" t="n">
        <f aca="false">($B$399-Q402-Q404)*Inputs!$B$34</f>
        <v>0.24545306362592</v>
      </c>
      <c r="R405" s="47" t="n">
        <f aca="false">($B$399-R402-R404)*Inputs!$B$34</f>
        <v>0.24545306362592</v>
      </c>
      <c r="S405" s="47" t="n">
        <f aca="false">($B$399-S402-S404)*Inputs!$B$34</f>
        <v>0.24545306362592</v>
      </c>
      <c r="T405" s="47" t="n">
        <f aca="false">($B$399-T402-T404)*Inputs!$B$34</f>
        <v>0.24545306362592</v>
      </c>
      <c r="U405" s="47" t="n">
        <f aca="false">($B$399-U402-U404)*Inputs!$B$34</f>
        <v>0.24545306362592</v>
      </c>
      <c r="V405" s="47" t="n">
        <f aca="false">($B$399-V402-V404)*Inputs!$B$34</f>
        <v>0.24545306362592</v>
      </c>
      <c r="W405" s="47" t="n">
        <f aca="false">($B$399-W402-W404)*Inputs!$B$34</f>
        <v>0.24545306362592</v>
      </c>
      <c r="X405" s="47" t="n">
        <f aca="false">($B$399-X402-X404)*Inputs!$B$34</f>
        <v>0.24545306362592</v>
      </c>
      <c r="Y405" s="47" t="n">
        <f aca="false">($B$399-Y402-Y404)*Inputs!$B$34</f>
        <v>0.24545306362592</v>
      </c>
      <c r="Z405" s="47" t="n">
        <f aca="false">($B$399-Z402-Z404)*Inputs!$B$34</f>
        <v>0.24545306362592</v>
      </c>
      <c r="AA405" s="47" t="n">
        <f aca="false">($B$399-AA402-AA404)*Inputs!$B$34</f>
        <v>0.24545306362592</v>
      </c>
      <c r="AB405" s="47" t="n">
        <f aca="false">($B$399-AB402-AB404)*Inputs!$B$34</f>
        <v>0.24545306362592</v>
      </c>
      <c r="AC405" s="47" t="n">
        <f aca="false">($B$399-AC402-AC404)*Inputs!$B$34</f>
        <v>0.24545306362592</v>
      </c>
      <c r="AD405" s="47" t="n">
        <f aca="false">($B$399-AD402-AD404)*Inputs!$B$34</f>
        <v>0.24545306362592</v>
      </c>
      <c r="AE405" s="47" t="n">
        <f aca="false">($B$399-AE402-AE404)*Inputs!$B$34</f>
        <v>0.24545306362592</v>
      </c>
      <c r="AF405" s="47" t="n">
        <f aca="false">($B$399-AF402-AF404)*Inputs!$B$34</f>
        <v>0.24545306362592</v>
      </c>
      <c r="AG405" s="47" t="n">
        <f aca="false">($B$399-AG402-AG404)*Inputs!$B$34</f>
        <v>0.24545306362592</v>
      </c>
      <c r="AH405" s="47" t="n">
        <f aca="false">($B$399-AH402-AH404)*Inputs!$B$34</f>
        <v>0.24545306362592</v>
      </c>
      <c r="AI405" s="47" t="n">
        <f aca="false">($B$399-AI402-AI404)*Inputs!$B$34</f>
        <v>0.24545306362592</v>
      </c>
      <c r="AJ405" s="47" t="n">
        <f aca="false">($B$399-AJ402-AJ404)*Inputs!$B$34</f>
        <v>0.24545306362592</v>
      </c>
      <c r="AK405" s="47" t="n">
        <f aca="false">($B$399-AK402-AK404)*Inputs!$B$34</f>
        <v>0.24545306362592</v>
      </c>
    </row>
    <row r="406" customFormat="false" ht="15" hidden="false" customHeight="false" outlineLevel="0" collapsed="false">
      <c r="A406" s="10" t="s">
        <v>579</v>
      </c>
      <c r="H406" s="47" t="n">
        <f aca="false">$B$399-H405</f>
        <v>5.89087352702208</v>
      </c>
      <c r="I406" s="47" t="n">
        <f aca="false">$B$399-I405</f>
        <v>5.89087352702208</v>
      </c>
      <c r="J406" s="47" t="n">
        <f aca="false">$B$399-J405</f>
        <v>5.89087352702208</v>
      </c>
      <c r="K406" s="47" t="n">
        <f aca="false">$B$399-K405</f>
        <v>5.89087352702208</v>
      </c>
      <c r="L406" s="47" t="n">
        <f aca="false">$B$399-L405</f>
        <v>5.89087352702208</v>
      </c>
      <c r="M406" s="47" t="n">
        <f aca="false">$B$399-M405</f>
        <v>5.89087352702208</v>
      </c>
      <c r="N406" s="47" t="n">
        <f aca="false">$B$399-N405</f>
        <v>5.89087352702208</v>
      </c>
      <c r="O406" s="47" t="n">
        <f aca="false">$B$399-O405</f>
        <v>5.89087352702208</v>
      </c>
      <c r="P406" s="47" t="n">
        <f aca="false">$B$399-P405</f>
        <v>5.89087352702208</v>
      </c>
      <c r="Q406" s="47" t="n">
        <f aca="false">$B$399-Q405</f>
        <v>5.89087352702208</v>
      </c>
      <c r="R406" s="47" t="n">
        <f aca="false">$B$399-R405</f>
        <v>5.89087352702208</v>
      </c>
      <c r="S406" s="47" t="n">
        <f aca="false">$B$399-S405</f>
        <v>5.89087352702208</v>
      </c>
      <c r="T406" s="47" t="n">
        <f aca="false">$B$399-T405</f>
        <v>5.89087352702208</v>
      </c>
      <c r="U406" s="47" t="n">
        <f aca="false">$B$399-U405</f>
        <v>5.89087352702208</v>
      </c>
      <c r="V406" s="47" t="n">
        <f aca="false">$B$399-V405</f>
        <v>5.89087352702208</v>
      </c>
      <c r="W406" s="47" t="n">
        <f aca="false">$B$399-W405</f>
        <v>5.89087352702208</v>
      </c>
      <c r="X406" s="47" t="n">
        <f aca="false">$B$399-X405</f>
        <v>5.89087352702208</v>
      </c>
      <c r="Y406" s="47" t="n">
        <f aca="false">$B$399-Y405</f>
        <v>5.89087352702208</v>
      </c>
      <c r="Z406" s="47" t="n">
        <f aca="false">$B$399-Z405</f>
        <v>5.89087352702208</v>
      </c>
      <c r="AA406" s="47" t="n">
        <f aca="false">$B$399-AA405</f>
        <v>5.89087352702208</v>
      </c>
      <c r="AB406" s="47" t="n">
        <f aca="false">$B$399-AB405</f>
        <v>5.89087352702208</v>
      </c>
      <c r="AC406" s="47" t="n">
        <f aca="false">$B$399-AC405</f>
        <v>5.89087352702208</v>
      </c>
      <c r="AD406" s="47" t="n">
        <f aca="false">$B$399-AD405</f>
        <v>5.89087352702208</v>
      </c>
      <c r="AE406" s="47" t="n">
        <f aca="false">$B$399-AE405</f>
        <v>5.89087352702208</v>
      </c>
      <c r="AF406" s="47" t="n">
        <f aca="false">$B$399-AF405</f>
        <v>5.89087352702208</v>
      </c>
      <c r="AG406" s="47" t="n">
        <f aca="false">$B$399-AG405</f>
        <v>5.89087352702208</v>
      </c>
      <c r="AH406" s="47" t="n">
        <f aca="false">$B$399-AH405</f>
        <v>5.89087352702208</v>
      </c>
      <c r="AI406" s="47" t="n">
        <f aca="false">$B$399-AI405</f>
        <v>5.89087352702208</v>
      </c>
      <c r="AJ406" s="47" t="n">
        <f aca="false">$B$399-AJ405</f>
        <v>5.89087352702208</v>
      </c>
      <c r="AK406" s="47" t="n">
        <f aca="false">$B$399-AK405</f>
        <v>5.89087352702208</v>
      </c>
    </row>
    <row r="407" customFormat="false" ht="15" hidden="false" customHeight="false" outlineLevel="0" collapsed="false">
      <c r="A407" s="10" t="s">
        <v>580</v>
      </c>
      <c r="G407" s="47" t="n">
        <f aca="false">$F$358</f>
        <v>0</v>
      </c>
      <c r="H407" s="47" t="n">
        <f aca="false">G407</f>
        <v>0</v>
      </c>
      <c r="I407" s="47" t="n">
        <f aca="false">H407-H408</f>
        <v>0</v>
      </c>
      <c r="J407" s="47" t="n">
        <f aca="false">I407-I408</f>
        <v>0</v>
      </c>
      <c r="K407" s="47" t="n">
        <f aca="false">J407-J408</f>
        <v>0</v>
      </c>
      <c r="L407" s="47" t="n">
        <f aca="false">K407-K408</f>
        <v>0</v>
      </c>
      <c r="M407" s="47" t="n">
        <f aca="false">L407-L408</f>
        <v>0</v>
      </c>
      <c r="N407" s="47" t="n">
        <f aca="false">M407-M408</f>
        <v>0</v>
      </c>
      <c r="O407" s="47" t="n">
        <f aca="false">N407-N408</f>
        <v>0</v>
      </c>
      <c r="P407" s="47" t="n">
        <f aca="false">O407-O408</f>
        <v>0</v>
      </c>
      <c r="Q407" s="47" t="n">
        <f aca="false">P407-P408</f>
        <v>0</v>
      </c>
      <c r="R407" s="47" t="n">
        <f aca="false">Q407-Q408</f>
        <v>0</v>
      </c>
      <c r="S407" s="47" t="n">
        <f aca="false">R407-R408</f>
        <v>0</v>
      </c>
      <c r="T407" s="47" t="n">
        <f aca="false">S407-S408</f>
        <v>0</v>
      </c>
      <c r="U407" s="47" t="n">
        <f aca="false">T407-T408</f>
        <v>0</v>
      </c>
      <c r="V407" s="47" t="n">
        <f aca="false">U407-U408</f>
        <v>0</v>
      </c>
      <c r="W407" s="47" t="n">
        <f aca="false">V407-V408</f>
        <v>0</v>
      </c>
      <c r="X407" s="47" t="n">
        <f aca="false">W407-W408</f>
        <v>0</v>
      </c>
      <c r="Y407" s="47" t="n">
        <f aca="false">X407-X408</f>
        <v>0</v>
      </c>
      <c r="Z407" s="47" t="n">
        <f aca="false">Y407-Y408</f>
        <v>0</v>
      </c>
      <c r="AA407" s="47" t="n">
        <f aca="false">Z407-Z408</f>
        <v>0</v>
      </c>
      <c r="AB407" s="47" t="n">
        <f aca="false">AA407-AA408</f>
        <v>0</v>
      </c>
      <c r="AC407" s="47" t="n">
        <f aca="false">AB407-AB408</f>
        <v>0</v>
      </c>
      <c r="AD407" s="47" t="n">
        <f aca="false">AC407-AC408</f>
        <v>0</v>
      </c>
      <c r="AE407" s="47" t="n">
        <f aca="false">AD407-AD408</f>
        <v>0</v>
      </c>
      <c r="AF407" s="47" t="n">
        <f aca="false">AE407-AE408</f>
        <v>0</v>
      </c>
      <c r="AG407" s="47" t="n">
        <f aca="false">AF407-AF408</f>
        <v>0</v>
      </c>
      <c r="AH407" s="47" t="n">
        <f aca="false">AG407-AG408</f>
        <v>0</v>
      </c>
      <c r="AI407" s="47" t="n">
        <f aca="false">AH407-AH408</f>
        <v>0</v>
      </c>
      <c r="AJ407" s="47" t="n">
        <f aca="false">AI407-AI408</f>
        <v>0</v>
      </c>
      <c r="AK407" s="47" t="n">
        <f aca="false">AJ407-AJ408</f>
        <v>0</v>
      </c>
    </row>
    <row r="408" customFormat="false" ht="15" hidden="false" customHeight="false" outlineLevel="0" collapsed="false">
      <c r="A408" s="10" t="s">
        <v>581</v>
      </c>
      <c r="H408" s="47" t="n">
        <f aca="false">MIN(H407,Inputs!$B$35*H406,1E+099)</f>
        <v>0</v>
      </c>
      <c r="I408" s="47" t="n">
        <f aca="false">MIN(I407,Inputs!$B$35*I406,1E+099)</f>
        <v>0</v>
      </c>
      <c r="J408" s="47" t="n">
        <f aca="false">MIN(J407,Inputs!$B$35*J406,1E+099)</f>
        <v>0</v>
      </c>
      <c r="K408" s="47" t="n">
        <f aca="false">MIN(K407,Inputs!$B$35*K406,1E+099)</f>
        <v>0</v>
      </c>
      <c r="L408" s="47" t="n">
        <f aca="false">MIN(L407,Inputs!$B$35*L406,1E+099)</f>
        <v>0</v>
      </c>
      <c r="M408" s="47" t="n">
        <f aca="false">MIN(M407,Inputs!$B$35*M406,1E+099)</f>
        <v>0</v>
      </c>
      <c r="N408" s="47" t="n">
        <f aca="false">MIN(N407,Inputs!$B$35*N406,1E+099)</f>
        <v>0</v>
      </c>
      <c r="O408" s="47" t="n">
        <f aca="false">MIN(O407,Inputs!$B$35*O406,1E+099)</f>
        <v>0</v>
      </c>
      <c r="P408" s="47" t="n">
        <f aca="false">MIN(P407,Inputs!$B$35*P406,1E+099)</f>
        <v>0</v>
      </c>
      <c r="Q408" s="47" t="n">
        <f aca="false">MIN(Q407,Inputs!$B$35*Q406,1E+099)</f>
        <v>0</v>
      </c>
      <c r="R408" s="47" t="n">
        <f aca="false">MIN(R407,Inputs!$B$35*R406,1E+099)</f>
        <v>0</v>
      </c>
      <c r="S408" s="47" t="n">
        <f aca="false">MIN(S407,Inputs!$B$35*S406,1E+099)</f>
        <v>0</v>
      </c>
      <c r="T408" s="47" t="n">
        <f aca="false">MIN(T407,Inputs!$B$35*T406,1E+099)</f>
        <v>0</v>
      </c>
      <c r="U408" s="47" t="n">
        <f aca="false">MIN(U407,Inputs!$B$35*U406,1E+099)</f>
        <v>0</v>
      </c>
      <c r="V408" s="47" t="n">
        <f aca="false">MIN(V407,Inputs!$B$35*V406,1E+099)</f>
        <v>0</v>
      </c>
      <c r="W408" s="47" t="n">
        <f aca="false">MIN(W407,Inputs!$B$35*W406,1E+099)</f>
        <v>0</v>
      </c>
      <c r="X408" s="47" t="n">
        <f aca="false">MIN(X407,Inputs!$B$35*X406,1E+099)</f>
        <v>0</v>
      </c>
      <c r="Y408" s="47" t="n">
        <f aca="false">MIN(Y407,Inputs!$B$35*Y406,1E+099)</f>
        <v>0</v>
      </c>
      <c r="Z408" s="47" t="n">
        <f aca="false">MIN(Z407,Inputs!$B$35*Z406,1E+099)</f>
        <v>0</v>
      </c>
      <c r="AA408" s="47" t="n">
        <f aca="false">MIN(AA407,Inputs!$B$35*AA406,1E+099)</f>
        <v>0</v>
      </c>
      <c r="AB408" s="47" t="n">
        <f aca="false">MIN(AB407,Inputs!$B$35*AB406,1E+099)</f>
        <v>0</v>
      </c>
      <c r="AC408" s="47" t="n">
        <f aca="false">MIN(AC407,Inputs!$B$35*AC406,1E+099)</f>
        <v>0</v>
      </c>
      <c r="AD408" s="47" t="n">
        <f aca="false">MIN(AD407,Inputs!$B$35*AD406,1E+099)</f>
        <v>0</v>
      </c>
      <c r="AE408" s="47" t="n">
        <f aca="false">MIN(AE407,Inputs!$B$35*AE406,1E+099)</f>
        <v>0</v>
      </c>
      <c r="AF408" s="47" t="n">
        <f aca="false">MIN(AF407,Inputs!$B$35*AF406,1E+099)</f>
        <v>0</v>
      </c>
      <c r="AG408" s="47" t="n">
        <f aca="false">MIN(AG407,Inputs!$B$35*AG406,1E+099)</f>
        <v>0</v>
      </c>
      <c r="AH408" s="47" t="n">
        <f aca="false">MIN(AH407,Inputs!$B$35*AH406,1E+099)</f>
        <v>0</v>
      </c>
      <c r="AI408" s="47" t="n">
        <f aca="false">MIN(AI407,Inputs!$B$35*AI406,1E+099)</f>
        <v>0</v>
      </c>
      <c r="AJ408" s="47" t="n">
        <f aca="false">MIN(AJ407,Inputs!$B$35*AJ406,1E+099)</f>
        <v>0</v>
      </c>
      <c r="AK408" s="47" t="n">
        <f aca="false">MIN(AK407,Inputs!$B$35*AK406,1E+099)</f>
        <v>0</v>
      </c>
    </row>
    <row r="409" customFormat="false" ht="15" hidden="false" customHeight="false" outlineLevel="0" collapsed="false">
      <c r="A409" s="10" t="s">
        <v>582</v>
      </c>
      <c r="G409" s="47" t="n">
        <f aca="false">$F$359</f>
        <v>0</v>
      </c>
      <c r="H409" s="47" t="n">
        <f aca="false">G409</f>
        <v>0</v>
      </c>
      <c r="I409" s="47" t="n">
        <f aca="false">H409-H410</f>
        <v>0</v>
      </c>
      <c r="J409" s="47" t="n">
        <f aca="false">I409-I410</f>
        <v>0</v>
      </c>
      <c r="K409" s="47" t="n">
        <f aca="false">J409-J410</f>
        <v>0</v>
      </c>
      <c r="L409" s="47" t="n">
        <f aca="false">K409-K410</f>
        <v>0</v>
      </c>
      <c r="M409" s="47" t="n">
        <f aca="false">L409-L410</f>
        <v>0</v>
      </c>
      <c r="N409" s="47" t="n">
        <f aca="false">M409-M410</f>
        <v>0</v>
      </c>
      <c r="O409" s="47" t="n">
        <f aca="false">N409-N410</f>
        <v>0</v>
      </c>
      <c r="P409" s="47" t="n">
        <f aca="false">O409-O410</f>
        <v>0</v>
      </c>
      <c r="Q409" s="47" t="n">
        <f aca="false">P409-P410</f>
        <v>0</v>
      </c>
      <c r="R409" s="47" t="n">
        <f aca="false">Q409-Q410</f>
        <v>0</v>
      </c>
      <c r="S409" s="47" t="n">
        <f aca="false">R409-R410</f>
        <v>0</v>
      </c>
      <c r="T409" s="47" t="n">
        <f aca="false">S409-S410</f>
        <v>0</v>
      </c>
      <c r="U409" s="47" t="n">
        <f aca="false">T409-T410</f>
        <v>0</v>
      </c>
      <c r="V409" s="47" t="n">
        <f aca="false">U409-U410</f>
        <v>0</v>
      </c>
      <c r="W409" s="47" t="n">
        <f aca="false">V409-V410</f>
        <v>0</v>
      </c>
      <c r="X409" s="47" t="n">
        <f aca="false">W409-W410</f>
        <v>0</v>
      </c>
      <c r="Y409" s="47" t="n">
        <f aca="false">X409-X410</f>
        <v>0</v>
      </c>
      <c r="Z409" s="47" t="n">
        <f aca="false">Y409-Y410</f>
        <v>0</v>
      </c>
      <c r="AA409" s="47" t="n">
        <f aca="false">Z409-Z410</f>
        <v>0</v>
      </c>
      <c r="AB409" s="47" t="n">
        <f aca="false">AA409-AA410</f>
        <v>0</v>
      </c>
      <c r="AC409" s="47" t="n">
        <f aca="false">AB409-AB410</f>
        <v>0</v>
      </c>
      <c r="AD409" s="47" t="n">
        <f aca="false">AC409-AC410</f>
        <v>0</v>
      </c>
      <c r="AE409" s="47" t="n">
        <f aca="false">AD409-AD410</f>
        <v>0</v>
      </c>
      <c r="AF409" s="47" t="n">
        <f aca="false">AE409-AE410</f>
        <v>0</v>
      </c>
      <c r="AG409" s="47" t="n">
        <f aca="false">AF409-AF410</f>
        <v>0</v>
      </c>
      <c r="AH409" s="47" t="n">
        <f aca="false">AG409-AG410</f>
        <v>0</v>
      </c>
      <c r="AI409" s="47" t="n">
        <f aca="false">AH409-AH410</f>
        <v>0</v>
      </c>
      <c r="AJ409" s="47" t="n">
        <f aca="false">AI409-AI410</f>
        <v>0</v>
      </c>
      <c r="AK409" s="47" t="n">
        <f aca="false">AJ409-AJ410</f>
        <v>0</v>
      </c>
    </row>
    <row r="410" customFormat="false" ht="15" hidden="false" customHeight="false" outlineLevel="0" collapsed="false">
      <c r="A410" s="10" t="s">
        <v>576</v>
      </c>
      <c r="H410" s="47" t="n">
        <f aca="false">MIN(H409,Inputs!$B$35*H406-H408)</f>
        <v>0</v>
      </c>
      <c r="I410" s="47" t="n">
        <f aca="false">MIN(I409,Inputs!$B$35*I406-I408)</f>
        <v>0</v>
      </c>
      <c r="J410" s="47" t="n">
        <f aca="false">MIN(J409,Inputs!$B$35*J406-J408)</f>
        <v>0</v>
      </c>
      <c r="K410" s="47" t="n">
        <f aca="false">MIN(K409,Inputs!$B$35*K406-K408)</f>
        <v>0</v>
      </c>
      <c r="L410" s="47" t="n">
        <f aca="false">MIN(L409,Inputs!$B$35*L406-L408)</f>
        <v>0</v>
      </c>
      <c r="M410" s="47" t="n">
        <f aca="false">MIN(M409,Inputs!$B$35*M406-M408)</f>
        <v>0</v>
      </c>
      <c r="N410" s="47" t="n">
        <f aca="false">MIN(N409,Inputs!$B$35*N406-N408)</f>
        <v>0</v>
      </c>
      <c r="O410" s="47" t="n">
        <f aca="false">MIN(O409,Inputs!$B$35*O406-O408)</f>
        <v>0</v>
      </c>
      <c r="P410" s="47" t="n">
        <f aca="false">MIN(P409,Inputs!$B$35*P406-P408)</f>
        <v>0</v>
      </c>
      <c r="Q410" s="47" t="n">
        <f aca="false">MIN(Q409,Inputs!$B$35*Q406-Q408)</f>
        <v>0</v>
      </c>
      <c r="R410" s="47" t="n">
        <f aca="false">MIN(R409,Inputs!$B$35*R406-R408)</f>
        <v>0</v>
      </c>
      <c r="S410" s="47" t="n">
        <f aca="false">MIN(S409,Inputs!$B$35*S406-S408)</f>
        <v>0</v>
      </c>
      <c r="T410" s="47" t="n">
        <f aca="false">MIN(T409,Inputs!$B$35*T406-T408)</f>
        <v>0</v>
      </c>
      <c r="U410" s="47" t="n">
        <f aca="false">MIN(U409,Inputs!$B$35*U406-U408)</f>
        <v>0</v>
      </c>
      <c r="V410" s="47" t="n">
        <f aca="false">MIN(V409,Inputs!$B$35*V406-V408)</f>
        <v>0</v>
      </c>
      <c r="W410" s="47" t="n">
        <f aca="false">MIN(W409,Inputs!$B$35*W406-W408)</f>
        <v>0</v>
      </c>
      <c r="X410" s="47" t="n">
        <f aca="false">MIN(X409,Inputs!$B$35*X406-X408)</f>
        <v>0</v>
      </c>
      <c r="Y410" s="47" t="n">
        <f aca="false">MIN(Y409,Inputs!$B$35*Y406-Y408)</f>
        <v>0</v>
      </c>
      <c r="Z410" s="47" t="n">
        <f aca="false">MIN(Z409,Inputs!$B$35*Z406-Z408)</f>
        <v>0</v>
      </c>
      <c r="AA410" s="47" t="n">
        <f aca="false">MIN(AA409,Inputs!$B$35*AA406-AA408)</f>
        <v>0</v>
      </c>
      <c r="AB410" s="47" t="n">
        <f aca="false">MIN(AB409,Inputs!$B$35*AB406-AB408)</f>
        <v>0</v>
      </c>
      <c r="AC410" s="47" t="n">
        <f aca="false">MIN(AC409,Inputs!$B$35*AC406-AC408)</f>
        <v>0</v>
      </c>
      <c r="AD410" s="47" t="n">
        <f aca="false">MIN(AD409,Inputs!$B$35*AD406-AD408)</f>
        <v>0</v>
      </c>
      <c r="AE410" s="47" t="n">
        <f aca="false">MIN(AE409,Inputs!$B$35*AE406-AE408)</f>
        <v>0</v>
      </c>
      <c r="AF410" s="47" t="n">
        <f aca="false">MIN(AF409,Inputs!$B$35*AF406-AF408)</f>
        <v>0</v>
      </c>
      <c r="AG410" s="47" t="n">
        <f aca="false">MIN(AG409,Inputs!$B$35*AG406-AG408)</f>
        <v>0</v>
      </c>
      <c r="AH410" s="47" t="n">
        <f aca="false">MIN(AH409,Inputs!$B$35*AH406-AH408)</f>
        <v>0</v>
      </c>
      <c r="AI410" s="47" t="n">
        <f aca="false">MIN(AI409,Inputs!$B$35*AI406-AI408)</f>
        <v>0</v>
      </c>
      <c r="AJ410" s="47" t="n">
        <f aca="false">MIN(AJ409,Inputs!$B$35*AJ406-AJ408)</f>
        <v>0</v>
      </c>
      <c r="AK410" s="47" t="n">
        <f aca="false">MIN(AK409,Inputs!$B$35*AK406-AK408)</f>
        <v>0</v>
      </c>
    </row>
    <row r="411" customFormat="false" ht="15" hidden="false" customHeight="false" outlineLevel="0" collapsed="false">
      <c r="A411" s="10" t="s">
        <v>583</v>
      </c>
      <c r="H411" s="47" t="n">
        <f aca="false">(H406-H408-H410)*Inputs!$B$33</f>
        <v>1.23708344067464</v>
      </c>
      <c r="I411" s="47" t="n">
        <f aca="false">(I406-I408-I410)*Inputs!$B$33</f>
        <v>1.23708344067464</v>
      </c>
      <c r="J411" s="47" t="n">
        <f aca="false">(J406-J408-J410)*Inputs!$B$33</f>
        <v>1.23708344067464</v>
      </c>
      <c r="K411" s="47" t="n">
        <f aca="false">(K406-K408-K410)*Inputs!$B$33</f>
        <v>1.23708344067464</v>
      </c>
      <c r="L411" s="47" t="n">
        <f aca="false">(L406-L408-L410)*Inputs!$B$33</f>
        <v>1.23708344067464</v>
      </c>
      <c r="M411" s="47" t="n">
        <f aca="false">(M406-M408-M410)*Inputs!$B$33</f>
        <v>1.23708344067464</v>
      </c>
      <c r="N411" s="47" t="n">
        <f aca="false">(N406-N408-N410)*Inputs!$B$33</f>
        <v>1.23708344067464</v>
      </c>
      <c r="O411" s="47" t="n">
        <f aca="false">(O406-O408-O410)*Inputs!$B$33</f>
        <v>1.23708344067464</v>
      </c>
      <c r="P411" s="47" t="n">
        <f aca="false">(P406-P408-P410)*Inputs!$B$33</f>
        <v>1.23708344067464</v>
      </c>
      <c r="Q411" s="47" t="n">
        <f aca="false">(Q406-Q408-Q410)*Inputs!$B$33</f>
        <v>1.23708344067464</v>
      </c>
      <c r="R411" s="47" t="n">
        <f aca="false">(R406-R408-R410)*Inputs!$B$33</f>
        <v>1.23708344067464</v>
      </c>
      <c r="S411" s="47" t="n">
        <f aca="false">(S406-S408-S410)*Inputs!$B$33</f>
        <v>1.23708344067464</v>
      </c>
      <c r="T411" s="47" t="n">
        <f aca="false">(T406-T408-T410)*Inputs!$B$33</f>
        <v>1.23708344067464</v>
      </c>
      <c r="U411" s="47" t="n">
        <f aca="false">(U406-U408-U410)*Inputs!$B$33</f>
        <v>1.23708344067464</v>
      </c>
      <c r="V411" s="47" t="n">
        <f aca="false">(V406-V408-V410)*Inputs!$B$33</f>
        <v>1.23708344067464</v>
      </c>
      <c r="W411" s="47" t="n">
        <f aca="false">(W406-W408-W410)*Inputs!$B$33</f>
        <v>1.23708344067464</v>
      </c>
      <c r="X411" s="47" t="n">
        <f aca="false">(X406-X408-X410)*Inputs!$B$33</f>
        <v>1.23708344067464</v>
      </c>
      <c r="Y411" s="47" t="n">
        <f aca="false">(Y406-Y408-Y410)*Inputs!$B$33</f>
        <v>1.23708344067464</v>
      </c>
      <c r="Z411" s="47" t="n">
        <f aca="false">(Z406-Z408-Z410)*Inputs!$B$33</f>
        <v>1.23708344067464</v>
      </c>
      <c r="AA411" s="47" t="n">
        <f aca="false">(AA406-AA408-AA410)*Inputs!$B$33</f>
        <v>1.23708344067464</v>
      </c>
      <c r="AB411" s="47" t="n">
        <f aca="false">(AB406-AB408-AB410)*Inputs!$B$33</f>
        <v>1.23708344067464</v>
      </c>
      <c r="AC411" s="47" t="n">
        <f aca="false">(AC406-AC408-AC410)*Inputs!$B$33</f>
        <v>1.23708344067464</v>
      </c>
      <c r="AD411" s="47" t="n">
        <f aca="false">(AD406-AD408-AD410)*Inputs!$B$33</f>
        <v>1.23708344067464</v>
      </c>
      <c r="AE411" s="47" t="n">
        <f aca="false">(AE406-AE408-AE410)*Inputs!$B$33</f>
        <v>1.23708344067464</v>
      </c>
      <c r="AF411" s="47" t="n">
        <f aca="false">(AF406-AF408-AF410)*Inputs!$B$33</f>
        <v>1.23708344067464</v>
      </c>
      <c r="AG411" s="47" t="n">
        <f aca="false">(AG406-AG408-AG410)*Inputs!$B$33</f>
        <v>1.23708344067464</v>
      </c>
      <c r="AH411" s="47" t="n">
        <f aca="false">(AH406-AH408-AH410)*Inputs!$B$33</f>
        <v>1.23708344067464</v>
      </c>
      <c r="AI411" s="47" t="n">
        <f aca="false">(AI406-AI408-AI410)*Inputs!$B$33</f>
        <v>1.23708344067464</v>
      </c>
      <c r="AJ411" s="47" t="n">
        <f aca="false">(AJ406-AJ408-AJ410)*Inputs!$B$33</f>
        <v>1.23708344067464</v>
      </c>
      <c r="AK411" s="47" t="n">
        <f aca="false">(AK406-AK408-AK410)*Inputs!$B$33</f>
        <v>1.23708344067464</v>
      </c>
    </row>
    <row r="412" customFormat="false" ht="15" hidden="false" customHeight="false" outlineLevel="0" collapsed="false">
      <c r="A412" s="10" t="s">
        <v>584</v>
      </c>
      <c r="G412" s="47" t="n">
        <f aca="false">$F$362</f>
        <v>0</v>
      </c>
      <c r="H412" s="47" t="n">
        <f aca="false">G412</f>
        <v>0</v>
      </c>
      <c r="I412" s="47" t="n">
        <f aca="false">H412-H413</f>
        <v>0</v>
      </c>
      <c r="J412" s="47" t="n">
        <f aca="false">I412-I413</f>
        <v>0</v>
      </c>
      <c r="K412" s="47" t="n">
        <f aca="false">J412-J413</f>
        <v>0</v>
      </c>
      <c r="L412" s="47" t="n">
        <f aca="false">K412-K413</f>
        <v>0</v>
      </c>
      <c r="M412" s="47" t="n">
        <f aca="false">L412-L413</f>
        <v>0</v>
      </c>
      <c r="N412" s="47" t="n">
        <f aca="false">M412-M413</f>
        <v>0</v>
      </c>
      <c r="O412" s="47" t="n">
        <f aca="false">N412-N413</f>
        <v>0</v>
      </c>
      <c r="P412" s="47" t="n">
        <f aca="false">O412-O413</f>
        <v>0</v>
      </c>
      <c r="Q412" s="47" t="n">
        <f aca="false">P412-P413</f>
        <v>0</v>
      </c>
      <c r="R412" s="47" t="n">
        <f aca="false">Q412-Q413</f>
        <v>0</v>
      </c>
      <c r="S412" s="47" t="n">
        <f aca="false">R412-R413</f>
        <v>0</v>
      </c>
      <c r="T412" s="47" t="n">
        <f aca="false">S412-S413</f>
        <v>0</v>
      </c>
      <c r="U412" s="47" t="n">
        <f aca="false">T412-T413</f>
        <v>0</v>
      </c>
      <c r="V412" s="47" t="n">
        <f aca="false">U412-U413</f>
        <v>0</v>
      </c>
      <c r="W412" s="47" t="n">
        <f aca="false">V412-V413</f>
        <v>0</v>
      </c>
      <c r="X412" s="47" t="n">
        <f aca="false">W412-W413</f>
        <v>0</v>
      </c>
      <c r="Y412" s="47" t="n">
        <f aca="false">X412-X413</f>
        <v>0</v>
      </c>
      <c r="Z412" s="47" t="n">
        <f aca="false">Y412-Y413</f>
        <v>0</v>
      </c>
      <c r="AA412" s="47" t="n">
        <f aca="false">Z412-Z413</f>
        <v>0</v>
      </c>
      <c r="AB412" s="47" t="n">
        <f aca="false">AA412-AA413</f>
        <v>0</v>
      </c>
      <c r="AC412" s="47" t="n">
        <f aca="false">AB412-AB413</f>
        <v>0</v>
      </c>
      <c r="AD412" s="47" t="n">
        <f aca="false">AC412-AC413</f>
        <v>0</v>
      </c>
      <c r="AE412" s="47" t="n">
        <f aca="false">AD412-AD413</f>
        <v>0</v>
      </c>
      <c r="AF412" s="47" t="n">
        <f aca="false">AE412-AE413</f>
        <v>0</v>
      </c>
      <c r="AG412" s="47" t="n">
        <f aca="false">AF412-AF413</f>
        <v>0</v>
      </c>
      <c r="AH412" s="47" t="n">
        <f aca="false">AG412-AG413</f>
        <v>0</v>
      </c>
      <c r="AI412" s="47" t="n">
        <f aca="false">AH412-AH413</f>
        <v>0</v>
      </c>
      <c r="AJ412" s="47" t="n">
        <f aca="false">AI412-AI413</f>
        <v>0</v>
      </c>
      <c r="AK412" s="47" t="n">
        <f aca="false">AJ412-AJ413</f>
        <v>0</v>
      </c>
    </row>
    <row r="413" customFormat="false" ht="15" hidden="false" customHeight="false" outlineLevel="0" collapsed="false">
      <c r="A413" s="10" t="s">
        <v>585</v>
      </c>
      <c r="H413" s="47" t="n">
        <f aca="false">IF(1&lt;=Inputs!$B$43,MIN(H412,H411,MAX(0,1E+099-H408)*Inputs!$B$33),0)</f>
        <v>0</v>
      </c>
      <c r="I413" s="47" t="n">
        <f aca="false">IF(2&lt;=Inputs!$B$43,MIN(I412,I411,MAX(0,1E+099-I408)*Inputs!$B$33),0)</f>
        <v>0</v>
      </c>
      <c r="J413" s="47" t="n">
        <f aca="false">IF(3&lt;=Inputs!$B$43,MIN(J412,J411,MAX(0,1E+099-J408)*Inputs!$B$33),0)</f>
        <v>0</v>
      </c>
      <c r="K413" s="47" t="n">
        <f aca="false">IF(4&lt;=Inputs!$B$43,MIN(K412,K411,MAX(0,1E+099-K408)*Inputs!$B$33),0)</f>
        <v>0</v>
      </c>
      <c r="L413" s="47" t="n">
        <f aca="false">IF(5&lt;=Inputs!$B$43,MIN(L412,L411,MAX(0,1E+099-L408)*Inputs!$B$33),0)</f>
        <v>0</v>
      </c>
      <c r="M413" s="47" t="n">
        <f aca="false">IF(6&lt;=Inputs!$B$43,MIN(M412,M411,MAX(0,1E+099-M408)*Inputs!$B$33),0)</f>
        <v>0</v>
      </c>
      <c r="N413" s="47" t="n">
        <f aca="false">IF(7&lt;=Inputs!$B$43,MIN(N412,N411,MAX(0,1E+099-N408)*Inputs!$B$33),0)</f>
        <v>0</v>
      </c>
      <c r="O413" s="47" t="n">
        <f aca="false">IF(8&lt;=Inputs!$B$43,MIN(O412,O411,MAX(0,1E+099-O408)*Inputs!$B$33),0)</f>
        <v>0</v>
      </c>
      <c r="P413" s="47" t="n">
        <f aca="false">IF(9&lt;=Inputs!$B$43,MIN(P412,P411,MAX(0,1E+099-P408)*Inputs!$B$33),0)</f>
        <v>0</v>
      </c>
      <c r="Q413" s="47" t="n">
        <f aca="false">IF(10&lt;=Inputs!$B$43,MIN(Q412,Q411,MAX(0,1E+099-Q408)*Inputs!$B$33),0)</f>
        <v>0</v>
      </c>
      <c r="R413" s="47" t="n">
        <f aca="false">IF(11&lt;=Inputs!$B$43,MIN(R412,R411,MAX(0,1E+099-R408)*Inputs!$B$33),0)</f>
        <v>0</v>
      </c>
      <c r="S413" s="47" t="n">
        <f aca="false">IF(12&lt;=Inputs!$B$43,MIN(S412,S411,MAX(0,1E+099-S408)*Inputs!$B$33),0)</f>
        <v>0</v>
      </c>
      <c r="T413" s="47" t="n">
        <f aca="false">IF(13&lt;=Inputs!$B$43,MIN(T412,T411,MAX(0,1E+099-T408)*Inputs!$B$33),0)</f>
        <v>0</v>
      </c>
      <c r="U413" s="47" t="n">
        <f aca="false">IF(14&lt;=Inputs!$B$43,MIN(U412,U411,MAX(0,1E+099-U408)*Inputs!$B$33),0)</f>
        <v>0</v>
      </c>
      <c r="V413" s="47" t="n">
        <f aca="false">IF(15&lt;=Inputs!$B$43,MIN(V412,V411,MAX(0,1E+099-V408)*Inputs!$B$33),0)</f>
        <v>0</v>
      </c>
      <c r="W413" s="47" t="n">
        <f aca="false">IF(16&lt;=Inputs!$B$43,MIN(W412,W411,MAX(0,1E+099-W408)*Inputs!$B$33),0)</f>
        <v>0</v>
      </c>
      <c r="X413" s="47" t="n">
        <f aca="false">IF(17&lt;=Inputs!$B$43,MIN(X412,X411,MAX(0,1E+099-X408)*Inputs!$B$33),0)</f>
        <v>0</v>
      </c>
      <c r="Y413" s="47" t="n">
        <f aca="false">IF(18&lt;=Inputs!$B$43,MIN(Y412,Y411,MAX(0,1E+099-Y408)*Inputs!$B$33),0)</f>
        <v>0</v>
      </c>
      <c r="Z413" s="47" t="n">
        <f aca="false">IF(19&lt;=Inputs!$B$43,MIN(Z412,Z411,MAX(0,1E+099-Z408)*Inputs!$B$33),0)</f>
        <v>0</v>
      </c>
      <c r="AA413" s="47" t="n">
        <f aca="false">IF(20&lt;=Inputs!$B$43,MIN(AA412,AA411,MAX(0,1E+099-AA408)*Inputs!$B$33),0)</f>
        <v>0</v>
      </c>
      <c r="AB413" s="47" t="n">
        <f aca="false">IF(21&lt;=Inputs!$B$43,MIN(AB412,AB411,MAX(0,1E+099-AB408)*Inputs!$B$33),0)</f>
        <v>0</v>
      </c>
      <c r="AC413" s="47" t="n">
        <f aca="false">IF(22&lt;=Inputs!$B$43,MIN(AC412,AC411,MAX(0,1E+099-AC408)*Inputs!$B$33),0)</f>
        <v>0</v>
      </c>
      <c r="AD413" s="47" t="n">
        <f aca="false">IF(23&lt;=Inputs!$B$43,MIN(AD412,AD411,MAX(0,1E+099-AD408)*Inputs!$B$33),0)</f>
        <v>0</v>
      </c>
      <c r="AE413" s="47" t="n">
        <f aca="false">IF(24&lt;=Inputs!$B$43,MIN(AE412,AE411,MAX(0,1E+099-AE408)*Inputs!$B$33),0)</f>
        <v>0</v>
      </c>
      <c r="AF413" s="47" t="n">
        <f aca="false">IF(25&lt;=Inputs!$B$43,MIN(AF412,AF411,MAX(0,1E+099-AF408)*Inputs!$B$33),0)</f>
        <v>0</v>
      </c>
      <c r="AG413" s="47" t="n">
        <f aca="false">IF(26&lt;=Inputs!$B$43,MIN(AG412,AG411,MAX(0,1E+099-AG408)*Inputs!$B$33),0)</f>
        <v>0</v>
      </c>
      <c r="AH413" s="47" t="n">
        <f aca="false">IF(27&lt;=Inputs!$B$43,MIN(AH412,AH411,MAX(0,1E+099-AH408)*Inputs!$B$33),0)</f>
        <v>0</v>
      </c>
      <c r="AI413" s="47" t="n">
        <f aca="false">IF(28&lt;=Inputs!$B$43,MIN(AI412,AI411,MAX(0,1E+099-AI408)*Inputs!$B$33),0)</f>
        <v>0</v>
      </c>
      <c r="AJ413" s="47" t="n">
        <f aca="false">IF(29&lt;=Inputs!$B$43,MIN(AJ412,AJ411,MAX(0,1E+099-AJ408)*Inputs!$B$33),0)</f>
        <v>0</v>
      </c>
      <c r="AK413" s="47" t="n">
        <f aca="false">IF(30&lt;=Inputs!$B$43,MIN(AK412,AK411,MAX(0,1E+099-AK408)*Inputs!$B$33),0)</f>
        <v>0</v>
      </c>
    </row>
    <row r="414" customFormat="false" ht="15" hidden="false" customHeight="false" outlineLevel="0" collapsed="false">
      <c r="A414" s="10" t="s">
        <v>586</v>
      </c>
      <c r="H414" s="47" t="n">
        <f aca="false">($B$399*Inputs!$B$34+($B$399-$B$399*Inputs!$B$34)*Inputs!$B$33)-(H405+H411-H413)</f>
        <v>0</v>
      </c>
      <c r="I414" s="47" t="n">
        <f aca="false">($B$399*Inputs!$B$34+($B$399-$B$399*Inputs!$B$34)*Inputs!$B$33)-(I405+I411-I413)</f>
        <v>0</v>
      </c>
      <c r="J414" s="47" t="n">
        <f aca="false">($B$399*Inputs!$B$34+($B$399-$B$399*Inputs!$B$34)*Inputs!$B$33)-(J405+J411-J413)</f>
        <v>0</v>
      </c>
      <c r="K414" s="47" t="n">
        <f aca="false">($B$399*Inputs!$B$34+($B$399-$B$399*Inputs!$B$34)*Inputs!$B$33)-(K405+K411-K413)</f>
        <v>0</v>
      </c>
      <c r="L414" s="47" t="n">
        <f aca="false">($B$399*Inputs!$B$34+($B$399-$B$399*Inputs!$B$34)*Inputs!$B$33)-(L405+L411-L413)</f>
        <v>0</v>
      </c>
      <c r="M414" s="47" t="n">
        <f aca="false">($B$399*Inputs!$B$34+($B$399-$B$399*Inputs!$B$34)*Inputs!$B$33)-(M405+M411-M413)</f>
        <v>0</v>
      </c>
      <c r="N414" s="47" t="n">
        <f aca="false">($B$399*Inputs!$B$34+($B$399-$B$399*Inputs!$B$34)*Inputs!$B$33)-(N405+N411-N413)</f>
        <v>0</v>
      </c>
      <c r="O414" s="47" t="n">
        <f aca="false">($B$399*Inputs!$B$34+($B$399-$B$399*Inputs!$B$34)*Inputs!$B$33)-(O405+O411-O413)</f>
        <v>0</v>
      </c>
      <c r="P414" s="47" t="n">
        <f aca="false">($B$399*Inputs!$B$34+($B$399-$B$399*Inputs!$B$34)*Inputs!$B$33)-(P405+P411-P413)</f>
        <v>0</v>
      </c>
      <c r="Q414" s="47" t="n">
        <f aca="false">($B$399*Inputs!$B$34+($B$399-$B$399*Inputs!$B$34)*Inputs!$B$33)-(Q405+Q411-Q413)</f>
        <v>0</v>
      </c>
      <c r="R414" s="47" t="n">
        <f aca="false">($B$399*Inputs!$B$34+($B$399-$B$399*Inputs!$B$34)*Inputs!$B$33)-(R405+R411-R413)</f>
        <v>0</v>
      </c>
      <c r="S414" s="47" t="n">
        <f aca="false">($B$399*Inputs!$B$34+($B$399-$B$399*Inputs!$B$34)*Inputs!$B$33)-(S405+S411-S413)</f>
        <v>0</v>
      </c>
      <c r="T414" s="47" t="n">
        <f aca="false">($B$399*Inputs!$B$34+($B$399-$B$399*Inputs!$B$34)*Inputs!$B$33)-(T405+T411-T413)</f>
        <v>0</v>
      </c>
      <c r="U414" s="47" t="n">
        <f aca="false">($B$399*Inputs!$B$34+($B$399-$B$399*Inputs!$B$34)*Inputs!$B$33)-(U405+U411-U413)</f>
        <v>0</v>
      </c>
      <c r="V414" s="47" t="n">
        <f aca="false">($B$399*Inputs!$B$34+($B$399-$B$399*Inputs!$B$34)*Inputs!$B$33)-(V405+V411-V413)</f>
        <v>0</v>
      </c>
      <c r="W414" s="47" t="n">
        <f aca="false">($B$399*Inputs!$B$34+($B$399-$B$399*Inputs!$B$34)*Inputs!$B$33)-(W405+W411-W413)</f>
        <v>0</v>
      </c>
      <c r="X414" s="47" t="n">
        <f aca="false">($B$399*Inputs!$B$34+($B$399-$B$399*Inputs!$B$34)*Inputs!$B$33)-(X405+X411-X413)</f>
        <v>0</v>
      </c>
      <c r="Y414" s="47" t="n">
        <f aca="false">($B$399*Inputs!$B$34+($B$399-$B$399*Inputs!$B$34)*Inputs!$B$33)-(Y405+Y411-Y413)</f>
        <v>0</v>
      </c>
      <c r="Z414" s="47" t="n">
        <f aca="false">($B$399*Inputs!$B$34+($B$399-$B$399*Inputs!$B$34)*Inputs!$B$33)-(Z405+Z411-Z413)</f>
        <v>0</v>
      </c>
      <c r="AA414" s="47" t="n">
        <f aca="false">($B$399*Inputs!$B$34+($B$399-$B$399*Inputs!$B$34)*Inputs!$B$33)-(AA405+AA411-AA413)</f>
        <v>0</v>
      </c>
      <c r="AB414" s="47" t="n">
        <f aca="false">($B$399*Inputs!$B$34+($B$399-$B$399*Inputs!$B$34)*Inputs!$B$33)-(AB405+AB411-AB413)</f>
        <v>0</v>
      </c>
      <c r="AC414" s="47" t="n">
        <f aca="false">($B$399*Inputs!$B$34+($B$399-$B$399*Inputs!$B$34)*Inputs!$B$33)-(AC405+AC411-AC413)</f>
        <v>0</v>
      </c>
      <c r="AD414" s="47" t="n">
        <f aca="false">($B$399*Inputs!$B$34+($B$399-$B$399*Inputs!$B$34)*Inputs!$B$33)-(AD405+AD411-AD413)</f>
        <v>0</v>
      </c>
      <c r="AE414" s="47" t="n">
        <f aca="false">($B$399*Inputs!$B$34+($B$399-$B$399*Inputs!$B$34)*Inputs!$B$33)-(AE405+AE411-AE413)</f>
        <v>0</v>
      </c>
      <c r="AF414" s="47" t="n">
        <f aca="false">($B$399*Inputs!$B$34+($B$399-$B$399*Inputs!$B$34)*Inputs!$B$33)-(AF405+AF411-AF413)</f>
        <v>0</v>
      </c>
      <c r="AG414" s="47" t="n">
        <f aca="false">($B$399*Inputs!$B$34+($B$399-$B$399*Inputs!$B$34)*Inputs!$B$33)-(AG405+AG411-AG413)</f>
        <v>0</v>
      </c>
      <c r="AH414" s="47" t="n">
        <f aca="false">($B$399*Inputs!$B$34+($B$399-$B$399*Inputs!$B$34)*Inputs!$B$33)-(AH405+AH411-AH413)</f>
        <v>0</v>
      </c>
      <c r="AI414" s="47" t="n">
        <f aca="false">($B$399*Inputs!$B$34+($B$399-$B$399*Inputs!$B$34)*Inputs!$B$33)-(AI405+AI411-AI413)</f>
        <v>0</v>
      </c>
      <c r="AJ414" s="47" t="n">
        <f aca="false">($B$399*Inputs!$B$34+($B$399-$B$399*Inputs!$B$34)*Inputs!$B$33)-(AJ405+AJ411-AJ413)</f>
        <v>0</v>
      </c>
      <c r="AK414" s="47" t="n">
        <f aca="false">($B$399*Inputs!$B$34+($B$399-$B$399*Inputs!$B$34)*Inputs!$B$33)-(AK405+AK411-AK413)</f>
        <v>0</v>
      </c>
    </row>
    <row r="415" customFormat="false" ht="15" hidden="false" customHeight="false" outlineLevel="0" collapsed="false">
      <c r="A415" s="10" t="s">
        <v>587</v>
      </c>
      <c r="B415" s="47" t="n">
        <f aca="false">SUMPRODUCT($H$414:$AK$414,$H$400:$AK$400)</f>
        <v>0</v>
      </c>
    </row>
    <row r="416" customFormat="false" ht="15" hidden="false" customHeight="false" outlineLevel="0" collapsed="false">
      <c r="A416" s="10" t="s">
        <v>588</v>
      </c>
      <c r="B416" s="47" t="n">
        <f aca="false">Inputs!$B$42*$B$415*$F$527</f>
        <v>0</v>
      </c>
    </row>
    <row r="417" customFormat="false" ht="15" hidden="false" customHeight="false" outlineLevel="0" collapsed="false">
      <c r="A417" s="10" t="s">
        <v>589</v>
      </c>
      <c r="B417" s="47" t="n">
        <f aca="false">$B$383</f>
        <v>32.3747788944724</v>
      </c>
    </row>
    <row r="418" customFormat="false" ht="15" hidden="false" customHeight="false" outlineLevel="0" collapsed="false">
      <c r="A418" s="10" t="s">
        <v>590</v>
      </c>
      <c r="B418" s="47" t="n">
        <f aca="false">Inputs!$B$18*IF(ISNUMBER($B$110),$B$110,Inputs!$B$12)</f>
        <v>0.107732913640393</v>
      </c>
    </row>
    <row r="419" customFormat="false" ht="15" hidden="false" customHeight="false" outlineLevel="0" collapsed="false">
      <c r="A419" s="10" t="s">
        <v>591</v>
      </c>
      <c r="B419" s="47" t="n">
        <f aca="false">SUMPRODUCT($C$378:$F$378,$C$527:$F$527)</f>
        <v>0</v>
      </c>
    </row>
    <row r="420" customFormat="false" ht="15" hidden="false" customHeight="false" outlineLevel="0" collapsed="false">
      <c r="A420" s="13" t="s">
        <v>592</v>
      </c>
      <c r="B420" s="18" t="n">
        <f aca="false">$B$398+$B$416+$B$417+$B$418-$B$419</f>
        <v>88.4856596846549</v>
      </c>
    </row>
    <row r="421" customFormat="false" ht="15" hidden="false" customHeight="false" outlineLevel="0" collapsed="false">
      <c r="A421" s="10" t="s">
        <v>593</v>
      </c>
      <c r="B421" s="25" t="n">
        <f aca="false">Historicals!$B$89+Inputs!$B$17</f>
        <v>3.967329173</v>
      </c>
    </row>
    <row r="422" customFormat="false" ht="15" hidden="false" customHeight="false" outlineLevel="0" collapsed="false">
      <c r="A422" s="10" t="s">
        <v>594</v>
      </c>
      <c r="B422" s="32" t="n">
        <f aca="false">IFERROR(($B$420-$B$377*(1-Inputs!$B$70))/$B$421,0)</f>
        <v>22.3035840552006</v>
      </c>
    </row>
    <row r="423" customFormat="false" ht="15" hidden="false" customHeight="false" outlineLevel="0" collapsed="false">
      <c r="A423" s="10" t="s">
        <v>595</v>
      </c>
      <c r="B423" s="25" t="n">
        <f aca="false">IF($B$422&gt;0,$B$377/($B$422*(1-Inputs!$B$71)),0)</f>
        <v>0</v>
      </c>
    </row>
    <row r="424" customFormat="false" ht="15" hidden="false" customHeight="false" outlineLevel="0" collapsed="false">
      <c r="A424" s="10" t="s">
        <v>596</v>
      </c>
      <c r="B424" s="32" t="n">
        <f aca="false">IFERROR($B$420/($B$421+$B$423),0)</f>
        <v>22.3035840552006</v>
      </c>
    </row>
    <row r="425" customFormat="false" ht="15" hidden="false" customHeight="false" outlineLevel="0" collapsed="false">
      <c r="A425" s="10" t="s">
        <v>597</v>
      </c>
      <c r="B425" s="47" t="n">
        <f aca="false">SUMPRODUCT($C$377:$F$377,$C$527:$F$527)</f>
        <v>0</v>
      </c>
    </row>
    <row r="426" customFormat="false" ht="15" hidden="false" customHeight="false" outlineLevel="0" collapsed="false">
      <c r="A426" s="10" t="s">
        <v>598</v>
      </c>
      <c r="B426" s="25" t="n">
        <f aca="false">IF($B$424&gt;0,$B$423+$B$425/($B$424*(1-Inputs!$B$71)),0)</f>
        <v>0</v>
      </c>
    </row>
    <row r="427" customFormat="false" ht="15" hidden="false" customHeight="false" outlineLevel="0" collapsed="false">
      <c r="A427" s="13" t="s">
        <v>599</v>
      </c>
      <c r="B427" s="15" t="n">
        <f aca="false">IFERROR(($B$420+$B$425)/($B$421+$B$426),0)</f>
        <v>22.3035840552006</v>
      </c>
    </row>
    <row r="428" customFormat="false" ht="15" hidden="false" customHeight="false" outlineLevel="0" collapsed="false">
      <c r="A428" s="10" t="s">
        <v>600</v>
      </c>
      <c r="B428" s="49" t="str">
        <f aca="false">IF($F$385&gt;Inputs!$B$73,"Not meaningful: funding need above limit",IF(OR($B$389&lt;=0,$B$394&lt;=0),"Not meaningful: 2030 profit or cash flow negative",IF(OR($B$393&lt;=0,$B$397&lt;=0),"Not meaningful: a method gives zero or negative value",IF($B$420&lt;=0,"Not meaningful: value at or below zero","OK"))))</f>
        <v>OK</v>
      </c>
    </row>
    <row r="429" customFormat="false" ht="15" hidden="false" customHeight="false" outlineLevel="0" collapsed="false">
      <c r="A429" s="13" t="s">
        <v>601</v>
      </c>
      <c r="B429" s="15" t="n">
        <f aca="false">IF($B$428="OK",$B$427,"unresolved")</f>
        <v>22.3035840552006</v>
      </c>
    </row>
    <row r="430" customFormat="false" ht="15" hidden="false" customHeight="false" outlineLevel="0" collapsed="false">
      <c r="A430" s="10" t="s">
        <v>602</v>
      </c>
      <c r="B430" s="47" t="n">
        <f aca="false">IF(ISNUMBER($B$429),$B$429*$B$421,"unresolved")</f>
        <v>88.4856596846549</v>
      </c>
    </row>
    <row r="431" customFormat="false" ht="15" hidden="false" customHeight="false" outlineLevel="0" collapsed="false">
      <c r="A431" s="10" t="s">
        <v>603</v>
      </c>
      <c r="B431" s="47" t="n">
        <f aca="false">IFERROR($B$420-$B$377*(1-Inputs!$B$70)-$B$430,"n/a")</f>
        <v>0</v>
      </c>
    </row>
    <row r="433" customFormat="false" ht="15" hidden="false" customHeight="false" outlineLevel="0" collapsed="false">
      <c r="A433" s="8" t="s">
        <v>627</v>
      </c>
      <c r="B433" s="9" t="s">
        <v>495</v>
      </c>
      <c r="C433" s="9" t="s">
        <v>496</v>
      </c>
      <c r="D433" s="9" t="s">
        <v>497</v>
      </c>
      <c r="E433" s="9" t="s">
        <v>498</v>
      </c>
      <c r="F433" s="9" t="s">
        <v>499</v>
      </c>
    </row>
    <row r="434" customFormat="false" ht="15" hidden="false" customHeight="false" outlineLevel="0" collapsed="false">
      <c r="A434" s="10" t="s">
        <v>628</v>
      </c>
      <c r="B434" s="19" t="n">
        <f aca="false">IF(0-Inputs!$B$25&lt;0,0,INDEX(Inputs!$B$82:$F$82,1,0-Inputs!$B$25+1))*Inputs!$B$26</f>
        <v>0</v>
      </c>
      <c r="C434" s="19" t="n">
        <f aca="false">IF(1-Inputs!$B$25&lt;0,0,INDEX(Inputs!$B$82:$F$82,1,1-Inputs!$B$25+1))*Inputs!$B$26</f>
        <v>0.25</v>
      </c>
      <c r="D434" s="19" t="n">
        <f aca="false">IF(2-Inputs!$B$25&lt;0,0,INDEX(Inputs!$B$82:$F$82,1,2-Inputs!$B$25+1))*Inputs!$B$26</f>
        <v>0.5</v>
      </c>
      <c r="E434" s="19" t="n">
        <f aca="false">IF(3-Inputs!$B$25&lt;0,0,INDEX(Inputs!$B$82:$F$82,1,3-Inputs!$B$25+1))*Inputs!$B$26</f>
        <v>0.75</v>
      </c>
      <c r="F434" s="19" t="n">
        <f aca="false">IF(4-Inputs!$B$25&lt;0,0,INDEX(Inputs!$B$82:$F$82,1,4-Inputs!$B$25+1))*Inputs!$B$26</f>
        <v>1</v>
      </c>
    </row>
    <row r="435" customFormat="false" ht="15" hidden="false" customHeight="false" outlineLevel="0" collapsed="false">
      <c r="A435" s="10" t="s">
        <v>629</v>
      </c>
      <c r="B435" s="19" t="n">
        <f aca="false">IF(0-Inputs!$B$25&lt;0,0,INDEX(Inputs!$B$82:$F$82,1,0-Inputs!$B$25+1))</f>
        <v>0</v>
      </c>
      <c r="C435" s="19" t="n">
        <f aca="false">IF(1-Inputs!$B$25&lt;0,0,INDEX(Inputs!$B$82:$F$82,1,1-Inputs!$B$25+1))</f>
        <v>0.25</v>
      </c>
      <c r="D435" s="19" t="n">
        <f aca="false">IF(2-Inputs!$B$25&lt;0,0,INDEX(Inputs!$B$82:$F$82,1,2-Inputs!$B$25+1))</f>
        <v>0.5</v>
      </c>
      <c r="E435" s="19" t="n">
        <f aca="false">IF(3-Inputs!$B$25&lt;0,0,INDEX(Inputs!$B$82:$F$82,1,3-Inputs!$B$25+1))</f>
        <v>0.75</v>
      </c>
      <c r="F435" s="19" t="n">
        <f aca="false">IF(4-Inputs!$B$25&lt;0,0,INDEX(Inputs!$B$82:$F$82,1,4-Inputs!$B$25+1))</f>
        <v>1</v>
      </c>
    </row>
    <row r="436" customFormat="false" ht="15" hidden="false" customHeight="false" outlineLevel="0" collapsed="false">
      <c r="A436" s="10" t="s">
        <v>630</v>
      </c>
      <c r="B436" s="47" t="n">
        <f aca="false">Inputs!$E$155*B434</f>
        <v>0</v>
      </c>
      <c r="C436" s="47" t="n">
        <f aca="false">Inputs!$E$155*C434</f>
        <v>0.5</v>
      </c>
      <c r="D436" s="47" t="n">
        <f aca="false">Inputs!$E$155*D434</f>
        <v>1</v>
      </c>
      <c r="E436" s="47" t="n">
        <f aca="false">Inputs!$E$155*E434</f>
        <v>1.5</v>
      </c>
      <c r="F436" s="47" t="n">
        <f aca="false">Inputs!$E$155*F434</f>
        <v>2</v>
      </c>
    </row>
    <row r="437" customFormat="false" ht="15" hidden="false" customHeight="false" outlineLevel="0" collapsed="false">
      <c r="A437" s="10" t="s">
        <v>631</v>
      </c>
      <c r="B437" s="47" t="n">
        <f aca="false">Inputs!$E$156*B434</f>
        <v>0</v>
      </c>
      <c r="C437" s="47" t="n">
        <f aca="false">Inputs!$E$156*C434</f>
        <v>0</v>
      </c>
      <c r="D437" s="47" t="n">
        <f aca="false">Inputs!$E$156*D434</f>
        <v>0</v>
      </c>
      <c r="E437" s="47" t="n">
        <f aca="false">Inputs!$E$156*E434</f>
        <v>0</v>
      </c>
      <c r="F437" s="47" t="n">
        <f aca="false">Inputs!$E$156*F434</f>
        <v>0</v>
      </c>
    </row>
    <row r="438" customFormat="false" ht="15" hidden="false" customHeight="false" outlineLevel="0" collapsed="false">
      <c r="A438" s="10" t="s">
        <v>632</v>
      </c>
      <c r="B438" s="47" t="n">
        <f aca="false">B437*Inputs!$E$157</f>
        <v>0</v>
      </c>
      <c r="C438" s="47" t="n">
        <f aca="false">C437*Inputs!$E$157</f>
        <v>0</v>
      </c>
      <c r="D438" s="47" t="n">
        <f aca="false">D437*Inputs!$E$157</f>
        <v>0</v>
      </c>
      <c r="E438" s="47" t="n">
        <f aca="false">E437*Inputs!$E$157</f>
        <v>0</v>
      </c>
      <c r="F438" s="47" t="n">
        <f aca="false">F437*Inputs!$E$157</f>
        <v>0</v>
      </c>
    </row>
    <row r="439" customFormat="false" ht="15" hidden="false" customHeight="false" outlineLevel="0" collapsed="false">
      <c r="A439" s="10" t="s">
        <v>633</v>
      </c>
      <c r="B439" s="47" t="n">
        <f aca="false">Inputs!$E$158*B435</f>
        <v>0</v>
      </c>
      <c r="C439" s="47" t="n">
        <f aca="false">Inputs!$E$158*C435</f>
        <v>0</v>
      </c>
      <c r="D439" s="47" t="n">
        <f aca="false">Inputs!$E$158*D435</f>
        <v>0</v>
      </c>
      <c r="E439" s="47" t="n">
        <f aca="false">Inputs!$E$158*E435</f>
        <v>0</v>
      </c>
      <c r="F439" s="47" t="n">
        <f aca="false">Inputs!$E$158*F435</f>
        <v>0</v>
      </c>
    </row>
    <row r="440" customFormat="false" ht="15" hidden="false" customHeight="false" outlineLevel="0" collapsed="false">
      <c r="A440" s="10" t="s">
        <v>634</v>
      </c>
      <c r="B440" s="26" t="n">
        <v>0</v>
      </c>
      <c r="C440" s="47" t="n">
        <f aca="false">Inputs!$B$23</f>
        <v>2</v>
      </c>
      <c r="D440" s="26" t="n">
        <v>0</v>
      </c>
      <c r="E440" s="26" t="n">
        <v>0</v>
      </c>
      <c r="F440" s="26" t="n">
        <v>0</v>
      </c>
    </row>
    <row r="441" customFormat="false" ht="15" hidden="false" customHeight="false" outlineLevel="0" collapsed="false">
      <c r="A441" s="10" t="s">
        <v>635</v>
      </c>
      <c r="B441" s="47" t="n">
        <f aca="false">B436+B438-B439-B440</f>
        <v>0</v>
      </c>
      <c r="C441" s="47" t="n">
        <f aca="false">C436+C438-C439-C440</f>
        <v>-1.5</v>
      </c>
      <c r="D441" s="47" t="n">
        <f aca="false">D436+D438-D439-D440</f>
        <v>1</v>
      </c>
      <c r="E441" s="47" t="n">
        <f aca="false">E436+E438-E439-E440</f>
        <v>1.5</v>
      </c>
      <c r="F441" s="47" t="n">
        <f aca="false">F436+F438-F439-F440</f>
        <v>2</v>
      </c>
    </row>
    <row r="442" customFormat="false" ht="15" hidden="false" customHeight="false" outlineLevel="0" collapsed="false">
      <c r="A442" s="10" t="s">
        <v>636</v>
      </c>
      <c r="B442" s="26" t="n">
        <v>0</v>
      </c>
      <c r="C442" s="47" t="n">
        <f aca="false">Inputs!$B$24/2</f>
        <v>0</v>
      </c>
      <c r="D442" s="47" t="n">
        <f aca="false">Inputs!$B$24/2</f>
        <v>0</v>
      </c>
      <c r="E442" s="26" t="n">
        <v>0</v>
      </c>
      <c r="F442" s="26" t="n">
        <v>0</v>
      </c>
    </row>
    <row r="443" customFormat="false" ht="15" hidden="false" customHeight="false" outlineLevel="0" collapsed="false">
      <c r="A443" s="10" t="s">
        <v>637</v>
      </c>
      <c r="B443" s="26" t="n">
        <v>0</v>
      </c>
      <c r="C443" s="47" t="n">
        <f aca="false">(C25+C131)*Inputs!$E$159*C434</f>
        <v>0</v>
      </c>
      <c r="D443" s="47" t="n">
        <f aca="false">(D25+D131)*Inputs!$E$159*D434</f>
        <v>0</v>
      </c>
      <c r="E443" s="47" t="n">
        <f aca="false">(E25+E131)*Inputs!$E$159*E434</f>
        <v>0</v>
      </c>
      <c r="F443" s="47" t="n">
        <f aca="false">(F25+F131)*Inputs!$E$159*F434</f>
        <v>0</v>
      </c>
    </row>
    <row r="444" customFormat="false" ht="15" hidden="false" customHeight="false" outlineLevel="0" collapsed="false">
      <c r="A444" s="10" t="s">
        <v>638</v>
      </c>
      <c r="B444" s="26" t="n">
        <v>0</v>
      </c>
      <c r="C444" s="26" t="n">
        <v>0</v>
      </c>
      <c r="D444" s="26" t="n">
        <v>0</v>
      </c>
      <c r="E444" s="26" t="n">
        <v>0</v>
      </c>
      <c r="F444" s="26" t="n">
        <v>0</v>
      </c>
    </row>
    <row r="445" customFormat="false" ht="15" hidden="false" customHeight="false" outlineLevel="0" collapsed="false">
      <c r="A445" s="10" t="s">
        <v>639</v>
      </c>
      <c r="B445" s="47" t="n">
        <f aca="false">B442-B443-B444</f>
        <v>0</v>
      </c>
      <c r="C445" s="47" t="n">
        <f aca="false">C442-C443-C444</f>
        <v>0</v>
      </c>
      <c r="D445" s="47" t="n">
        <f aca="false">D442-D443-D444</f>
        <v>0</v>
      </c>
      <c r="E445" s="47" t="n">
        <f aca="false">E442-E443-E444</f>
        <v>0</v>
      </c>
      <c r="F445" s="47" t="n">
        <f aca="false">F442-F443-F444</f>
        <v>0</v>
      </c>
    </row>
    <row r="446" customFormat="false" ht="15" hidden="false" customHeight="false" outlineLevel="0" collapsed="false">
      <c r="A446" s="10" t="s">
        <v>640</v>
      </c>
      <c r="B446" s="26" t="n">
        <v>0</v>
      </c>
      <c r="C446" s="47" t="n">
        <f aca="false">C445*0.5/Inputs!$B$47</f>
        <v>0</v>
      </c>
      <c r="D446" s="47" t="n">
        <f aca="false">C445*IF(1&lt;=Inputs!$B$47-1,1,IF(1=Inputs!$B$47,0.5,0))/Inputs!$B$47+D445*0.5/Inputs!$B$47</f>
        <v>0</v>
      </c>
      <c r="E446" s="47" t="n">
        <f aca="false">C445*IF(2&lt;=Inputs!$B$47-1,1,IF(2=Inputs!$B$47,0.5,0))/Inputs!$B$47+D445*IF(1&lt;=Inputs!$B$47-1,1,IF(1=Inputs!$B$47,0.5,0))/Inputs!$B$47+E445*0.5/Inputs!$B$47</f>
        <v>0</v>
      </c>
      <c r="F446" s="47" t="n">
        <f aca="false">C445*IF(3&lt;=Inputs!$B$47-1,1,IF(3=Inputs!$B$47,0.5,0))/Inputs!$B$47+D445*IF(2&lt;=Inputs!$B$47-1,1,IF(2=Inputs!$B$47,0.5,0))/Inputs!$B$47+E445*IF(1&lt;=Inputs!$B$47-1,1,IF(1=Inputs!$B$47,0.5,0))/Inputs!$B$47+F445*0.5/Inputs!$B$47</f>
        <v>0</v>
      </c>
    </row>
    <row r="447" customFormat="false" ht="15" hidden="false" customHeight="false" outlineLevel="0" collapsed="false">
      <c r="A447" s="13" t="s">
        <v>641</v>
      </c>
      <c r="B447" s="18" t="n">
        <f aca="false">B441-B446</f>
        <v>0</v>
      </c>
      <c r="C447" s="18" t="n">
        <f aca="false">C441-C446</f>
        <v>-1.5</v>
      </c>
      <c r="D447" s="18" t="n">
        <f aca="false">D441-D446</f>
        <v>1</v>
      </c>
      <c r="E447" s="18" t="n">
        <f aca="false">E441-E446</f>
        <v>1.5</v>
      </c>
      <c r="F447" s="18" t="n">
        <f aca="false">F441-F446</f>
        <v>2</v>
      </c>
    </row>
    <row r="448" customFormat="false" ht="15" hidden="false" customHeight="false" outlineLevel="0" collapsed="false">
      <c r="A448" s="10" t="s">
        <v>642</v>
      </c>
      <c r="B448" s="47" t="n">
        <f aca="false">B441-(Inputs!$B$37*B445+(1-Inputs!$B$37)*B446)</f>
        <v>0</v>
      </c>
      <c r="C448" s="47" t="n">
        <f aca="false">C441-(Inputs!$B$37*C445+(1-Inputs!$B$37)*C446)</f>
        <v>-1.5</v>
      </c>
      <c r="D448" s="47" t="n">
        <f aca="false">D441-(Inputs!$B$37*D445+(1-Inputs!$B$37)*D446)</f>
        <v>1</v>
      </c>
      <c r="E448" s="47" t="n">
        <f aca="false">E441-(Inputs!$B$37*E445+(1-Inputs!$B$37)*E446)</f>
        <v>1.5</v>
      </c>
      <c r="F448" s="47" t="n">
        <f aca="false">F441-(Inputs!$B$37*F445+(1-Inputs!$B$37)*F446)</f>
        <v>2</v>
      </c>
    </row>
    <row r="449" customFormat="false" ht="15" hidden="false" customHeight="false" outlineLevel="0" collapsed="false">
      <c r="A449" s="10" t="s">
        <v>643</v>
      </c>
      <c r="B449" s="47" t="n">
        <f aca="false">B448*Inputs!$B$79</f>
        <v>0</v>
      </c>
      <c r="C449" s="47" t="n">
        <f aca="false">C448*Inputs!$B$79</f>
        <v>-0.3624</v>
      </c>
      <c r="D449" s="47" t="n">
        <f aca="false">D448*Inputs!$B$79</f>
        <v>0.2416</v>
      </c>
      <c r="E449" s="47" t="n">
        <f aca="false">E448*Inputs!$B$79</f>
        <v>0.3624</v>
      </c>
      <c r="F449" s="47" t="n">
        <f aca="false">F448*Inputs!$B$79</f>
        <v>0.4832</v>
      </c>
    </row>
    <row r="450" customFormat="false" ht="15" hidden="false" customHeight="false" outlineLevel="0" collapsed="false">
      <c r="A450" s="13" t="s">
        <v>644</v>
      </c>
      <c r="B450" s="18" t="n">
        <f aca="false">B447+B446-B449-B445</f>
        <v>0</v>
      </c>
      <c r="C450" s="18" t="n">
        <f aca="false">C447+C446-C449-C445</f>
        <v>-1.1376</v>
      </c>
      <c r="D450" s="18" t="n">
        <f aca="false">D447+D446-D449-D445</f>
        <v>0.7584</v>
      </c>
      <c r="E450" s="18" t="n">
        <f aca="false">E447+E446-E449-E445</f>
        <v>1.1376</v>
      </c>
      <c r="F450" s="18" t="n">
        <f aca="false">F447+F446-F449-F445</f>
        <v>1.5168</v>
      </c>
    </row>
    <row r="451" customFormat="false" ht="15" hidden="false" customHeight="false" outlineLevel="0" collapsed="false">
      <c r="A451" s="10" t="s">
        <v>645</v>
      </c>
      <c r="B451" s="47" t="n">
        <f aca="false">$F$447*(1-Inputs!$B$79)+$F$446-$F$445</f>
        <v>1.5168</v>
      </c>
    </row>
    <row r="452" customFormat="false" ht="15" hidden="false" customHeight="false" outlineLevel="0" collapsed="false">
      <c r="A452" s="10" t="s">
        <v>646</v>
      </c>
      <c r="B452" s="47" t="n">
        <f aca="false">SUMPRODUCT($C$450:$F$450,$C$527:$F$527)+$F$447*(1-Inputs!$B$79)*Inputs!$B$30*$F$527</f>
        <v>26.4007145850369</v>
      </c>
    </row>
    <row r="453" customFormat="false" ht="15" hidden="false" customHeight="false" outlineLevel="0" collapsed="false">
      <c r="A453" s="10" t="s">
        <v>647</v>
      </c>
      <c r="B453" s="47" t="n">
        <f aca="false">SUMPRODUCT($C$450:$F$450,$C$527:$F$527)+$B$451*Inputs!$B$31*$F$527</f>
        <v>21.4048988771212</v>
      </c>
    </row>
    <row r="454" customFormat="false" ht="15" hidden="false" customHeight="false" outlineLevel="0" collapsed="false">
      <c r="A454" s="13" t="s">
        <v>648</v>
      </c>
      <c r="B454" s="18" t="n">
        <f aca="false">Inputs!$B$7*$B$452+(1-Inputs!$B$7)*$B$453</f>
        <v>23.9028067310791</v>
      </c>
    </row>
    <row r="456" customFormat="false" ht="15" hidden="false" customHeight="false" outlineLevel="0" collapsed="false">
      <c r="A456" s="8" t="s">
        <v>649</v>
      </c>
      <c r="B456" s="9" t="s">
        <v>495</v>
      </c>
      <c r="C456" s="9" t="s">
        <v>496</v>
      </c>
      <c r="D456" s="9" t="s">
        <v>497</v>
      </c>
      <c r="E456" s="9" t="s">
        <v>498</v>
      </c>
      <c r="F456" s="9" t="s">
        <v>499</v>
      </c>
    </row>
    <row r="457" customFormat="false" ht="15" hidden="false" customHeight="false" outlineLevel="0" collapsed="false">
      <c r="A457" s="10" t="s">
        <v>628</v>
      </c>
      <c r="B457" s="19" t="n">
        <f aca="false">IF(0-Inputs!$B$25&lt;0,0,INDEX(Inputs!$B$82:$F$82,1,0-Inputs!$B$25+1))*Inputs!$B$28</f>
        <v>0</v>
      </c>
      <c r="C457" s="19" t="n">
        <f aca="false">IF(1-Inputs!$B$25&lt;0,0,INDEX(Inputs!$B$82:$F$82,1,1-Inputs!$B$25+1))*Inputs!$B$28</f>
        <v>0.1875</v>
      </c>
      <c r="D457" s="19" t="n">
        <f aca="false">IF(2-Inputs!$B$25&lt;0,0,INDEX(Inputs!$B$82:$F$82,1,2-Inputs!$B$25+1))*Inputs!$B$28</f>
        <v>0.375</v>
      </c>
      <c r="E457" s="19" t="n">
        <f aca="false">IF(3-Inputs!$B$25&lt;0,0,INDEX(Inputs!$B$82:$F$82,1,3-Inputs!$B$25+1))*Inputs!$B$28</f>
        <v>0.5625</v>
      </c>
      <c r="F457" s="19" t="n">
        <f aca="false">IF(4-Inputs!$B$25&lt;0,0,INDEX(Inputs!$B$82:$F$82,1,4-Inputs!$B$25+1))*Inputs!$B$28</f>
        <v>0.75</v>
      </c>
    </row>
    <row r="458" customFormat="false" ht="15" hidden="false" customHeight="false" outlineLevel="0" collapsed="false">
      <c r="A458" s="10" t="s">
        <v>629</v>
      </c>
      <c r="B458" s="19" t="n">
        <f aca="false">IF(0-Inputs!$B$25&lt;0,0,INDEX(Inputs!$B$82:$F$82,1,0-Inputs!$B$25+1))</f>
        <v>0</v>
      </c>
      <c r="C458" s="19" t="n">
        <f aca="false">IF(1-Inputs!$B$25&lt;0,0,INDEX(Inputs!$B$82:$F$82,1,1-Inputs!$B$25+1))</f>
        <v>0.25</v>
      </c>
      <c r="D458" s="19" t="n">
        <f aca="false">IF(2-Inputs!$B$25&lt;0,0,INDEX(Inputs!$B$82:$F$82,1,2-Inputs!$B$25+1))</f>
        <v>0.5</v>
      </c>
      <c r="E458" s="19" t="n">
        <f aca="false">IF(3-Inputs!$B$25&lt;0,0,INDEX(Inputs!$B$82:$F$82,1,3-Inputs!$B$25+1))</f>
        <v>0.75</v>
      </c>
      <c r="F458" s="19" t="n">
        <f aca="false">IF(4-Inputs!$B$25&lt;0,0,INDEX(Inputs!$B$82:$F$82,1,4-Inputs!$B$25+1))</f>
        <v>1</v>
      </c>
    </row>
    <row r="459" customFormat="false" ht="15" hidden="false" customHeight="false" outlineLevel="0" collapsed="false">
      <c r="A459" s="10" t="s">
        <v>630</v>
      </c>
      <c r="B459" s="47" t="n">
        <f aca="false">Inputs!$E$155*B457</f>
        <v>0</v>
      </c>
      <c r="C459" s="47" t="n">
        <f aca="false">Inputs!$E$155*C457</f>
        <v>0.375</v>
      </c>
      <c r="D459" s="47" t="n">
        <f aca="false">Inputs!$E$155*D457</f>
        <v>0.75</v>
      </c>
      <c r="E459" s="47" t="n">
        <f aca="false">Inputs!$E$155*E457</f>
        <v>1.125</v>
      </c>
      <c r="F459" s="47" t="n">
        <f aca="false">Inputs!$E$155*F457</f>
        <v>1.5</v>
      </c>
    </row>
    <row r="460" customFormat="false" ht="15" hidden="false" customHeight="false" outlineLevel="0" collapsed="false">
      <c r="A460" s="10" t="s">
        <v>631</v>
      </c>
      <c r="B460" s="47" t="n">
        <f aca="false">Inputs!$E$156*B457</f>
        <v>0</v>
      </c>
      <c r="C460" s="47" t="n">
        <f aca="false">Inputs!$E$156*C457</f>
        <v>0</v>
      </c>
      <c r="D460" s="47" t="n">
        <f aca="false">Inputs!$E$156*D457</f>
        <v>0</v>
      </c>
      <c r="E460" s="47" t="n">
        <f aca="false">Inputs!$E$156*E457</f>
        <v>0</v>
      </c>
      <c r="F460" s="47" t="n">
        <f aca="false">Inputs!$E$156*F457</f>
        <v>0</v>
      </c>
    </row>
    <row r="461" customFormat="false" ht="15" hidden="false" customHeight="false" outlineLevel="0" collapsed="false">
      <c r="A461" s="10" t="s">
        <v>632</v>
      </c>
      <c r="B461" s="47" t="n">
        <f aca="false">B460*Inputs!$E$157</f>
        <v>0</v>
      </c>
      <c r="C461" s="47" t="n">
        <f aca="false">C460*Inputs!$E$157</f>
        <v>0</v>
      </c>
      <c r="D461" s="47" t="n">
        <f aca="false">D460*Inputs!$E$157</f>
        <v>0</v>
      </c>
      <c r="E461" s="47" t="n">
        <f aca="false">E460*Inputs!$E$157</f>
        <v>0</v>
      </c>
      <c r="F461" s="47" t="n">
        <f aca="false">F460*Inputs!$E$157</f>
        <v>0</v>
      </c>
    </row>
    <row r="462" customFormat="false" ht="15" hidden="false" customHeight="false" outlineLevel="0" collapsed="false">
      <c r="A462" s="10" t="s">
        <v>633</v>
      </c>
      <c r="B462" s="47" t="n">
        <f aca="false">Inputs!$B$27*B458</f>
        <v>0</v>
      </c>
      <c r="C462" s="47" t="n">
        <f aca="false">Inputs!$B$27*C458</f>
        <v>0.25</v>
      </c>
      <c r="D462" s="47" t="n">
        <f aca="false">Inputs!$B$27*D458</f>
        <v>0.5</v>
      </c>
      <c r="E462" s="47" t="n">
        <f aca="false">Inputs!$B$27*E458</f>
        <v>0.75</v>
      </c>
      <c r="F462" s="47" t="n">
        <f aca="false">Inputs!$B$27*F458</f>
        <v>1</v>
      </c>
    </row>
    <row r="463" customFormat="false" ht="15" hidden="false" customHeight="false" outlineLevel="0" collapsed="false">
      <c r="A463" s="10" t="s">
        <v>634</v>
      </c>
      <c r="B463" s="26" t="n">
        <v>0</v>
      </c>
      <c r="C463" s="47" t="n">
        <f aca="false">Inputs!$B$23</f>
        <v>2</v>
      </c>
      <c r="D463" s="26" t="n">
        <v>0</v>
      </c>
      <c r="E463" s="26" t="n">
        <v>0</v>
      </c>
      <c r="F463" s="26" t="n">
        <v>0</v>
      </c>
    </row>
    <row r="464" customFormat="false" ht="15" hidden="false" customHeight="false" outlineLevel="0" collapsed="false">
      <c r="A464" s="10" t="s">
        <v>635</v>
      </c>
      <c r="B464" s="47" t="n">
        <f aca="false">B459+B461-B462-B463</f>
        <v>0</v>
      </c>
      <c r="C464" s="47" t="n">
        <f aca="false">C459+C461-C462-C463</f>
        <v>-1.875</v>
      </c>
      <c r="D464" s="47" t="n">
        <f aca="false">D459+D461-D462-D463</f>
        <v>0.25</v>
      </c>
      <c r="E464" s="47" t="n">
        <f aca="false">E459+E461-E462-E463</f>
        <v>0.375</v>
      </c>
      <c r="F464" s="47" t="n">
        <f aca="false">F459+F461-F462-F463</f>
        <v>0.5</v>
      </c>
    </row>
    <row r="465" customFormat="false" ht="15" hidden="false" customHeight="false" outlineLevel="0" collapsed="false">
      <c r="A465" s="10" t="s">
        <v>636</v>
      </c>
      <c r="B465" s="26" t="n">
        <v>0</v>
      </c>
      <c r="C465" s="47" t="n">
        <f aca="false">Inputs!$B$29/2</f>
        <v>1.5</v>
      </c>
      <c r="D465" s="47" t="n">
        <f aca="false">Inputs!$B$29/2</f>
        <v>1.5</v>
      </c>
      <c r="E465" s="26" t="n">
        <v>0</v>
      </c>
      <c r="F465" s="26" t="n">
        <v>0</v>
      </c>
    </row>
    <row r="466" customFormat="false" ht="15" hidden="false" customHeight="false" outlineLevel="0" collapsed="false">
      <c r="A466" s="10" t="s">
        <v>637</v>
      </c>
      <c r="B466" s="26" t="n">
        <v>0</v>
      </c>
      <c r="C466" s="47" t="n">
        <f aca="false">(C25+C131)*Inputs!$E$159*C457</f>
        <v>0</v>
      </c>
      <c r="D466" s="47" t="n">
        <f aca="false">(D25+D131)*Inputs!$E$159*D457</f>
        <v>0</v>
      </c>
      <c r="E466" s="47" t="n">
        <f aca="false">(E25+E131)*Inputs!$E$159*E457</f>
        <v>0</v>
      </c>
      <c r="F466" s="47" t="n">
        <f aca="false">(F25+F131)*Inputs!$E$159*F457</f>
        <v>0</v>
      </c>
    </row>
    <row r="467" customFormat="false" ht="15" hidden="false" customHeight="false" outlineLevel="0" collapsed="false">
      <c r="A467" s="10" t="s">
        <v>638</v>
      </c>
      <c r="B467" s="26" t="n">
        <v>0</v>
      </c>
      <c r="C467" s="26" t="n">
        <v>0</v>
      </c>
      <c r="D467" s="26" t="n">
        <v>0</v>
      </c>
      <c r="E467" s="26" t="n">
        <v>0</v>
      </c>
      <c r="F467" s="26" t="n">
        <v>0</v>
      </c>
    </row>
    <row r="468" customFormat="false" ht="15" hidden="false" customHeight="false" outlineLevel="0" collapsed="false">
      <c r="A468" s="10" t="s">
        <v>639</v>
      </c>
      <c r="B468" s="47" t="n">
        <f aca="false">B465-B466-B467</f>
        <v>0</v>
      </c>
      <c r="C468" s="47" t="n">
        <f aca="false">C465-C466-C467</f>
        <v>1.5</v>
      </c>
      <c r="D468" s="47" t="n">
        <f aca="false">D465-D466-D467</f>
        <v>1.5</v>
      </c>
      <c r="E468" s="47" t="n">
        <f aca="false">E465-E466-E467</f>
        <v>0</v>
      </c>
      <c r="F468" s="47" t="n">
        <f aca="false">F465-F466-F467</f>
        <v>0</v>
      </c>
    </row>
    <row r="469" customFormat="false" ht="15" hidden="false" customHeight="false" outlineLevel="0" collapsed="false">
      <c r="A469" s="10" t="s">
        <v>640</v>
      </c>
      <c r="B469" s="26" t="n">
        <v>0</v>
      </c>
      <c r="C469" s="47" t="n">
        <f aca="false">C468*0.5/Inputs!$B$47</f>
        <v>0.107142857142857</v>
      </c>
      <c r="D469" s="47" t="n">
        <f aca="false">C468*IF(1&lt;=Inputs!$B$47-1,1,IF(1=Inputs!$B$47,0.5,0))/Inputs!$B$47+D468*0.5/Inputs!$B$47</f>
        <v>0.321428571428571</v>
      </c>
      <c r="E469" s="47" t="n">
        <f aca="false">C468*IF(2&lt;=Inputs!$B$47-1,1,IF(2=Inputs!$B$47,0.5,0))/Inputs!$B$47+D468*IF(1&lt;=Inputs!$B$47-1,1,IF(1=Inputs!$B$47,0.5,0))/Inputs!$B$47+E468*0.5/Inputs!$B$47</f>
        <v>0.428571428571429</v>
      </c>
      <c r="F469" s="47" t="n">
        <f aca="false">C468*IF(3&lt;=Inputs!$B$47-1,1,IF(3=Inputs!$B$47,0.5,0))/Inputs!$B$47+D468*IF(2&lt;=Inputs!$B$47-1,1,IF(2=Inputs!$B$47,0.5,0))/Inputs!$B$47+E468*IF(1&lt;=Inputs!$B$47-1,1,IF(1=Inputs!$B$47,0.5,0))/Inputs!$B$47+F468*0.5/Inputs!$B$47</f>
        <v>0.428571428571429</v>
      </c>
    </row>
    <row r="470" customFormat="false" ht="15" hidden="false" customHeight="false" outlineLevel="0" collapsed="false">
      <c r="A470" s="13" t="s">
        <v>641</v>
      </c>
      <c r="B470" s="18" t="n">
        <f aca="false">B464-B469</f>
        <v>0</v>
      </c>
      <c r="C470" s="18" t="n">
        <f aca="false">C464-C469</f>
        <v>-1.98214285714286</v>
      </c>
      <c r="D470" s="18" t="n">
        <f aca="false">D464-D469</f>
        <v>-0.0714285714285714</v>
      </c>
      <c r="E470" s="18" t="n">
        <f aca="false">E464-E469</f>
        <v>-0.0535714285714286</v>
      </c>
      <c r="F470" s="18" t="n">
        <f aca="false">F464-F469</f>
        <v>0.0714285714285715</v>
      </c>
    </row>
    <row r="471" customFormat="false" ht="15" hidden="false" customHeight="false" outlineLevel="0" collapsed="false">
      <c r="A471" s="10" t="s">
        <v>642</v>
      </c>
      <c r="B471" s="47" t="n">
        <f aca="false">B464-(Inputs!$B$37*B468+(1-Inputs!$B$37)*B469)</f>
        <v>0</v>
      </c>
      <c r="C471" s="47" t="n">
        <f aca="false">C464-(Inputs!$B$37*C468+(1-Inputs!$B$37)*C469)</f>
        <v>-2.95714285714286</v>
      </c>
      <c r="D471" s="47" t="n">
        <f aca="false">D464-(Inputs!$B$37*D468+(1-Inputs!$B$37)*D469)</f>
        <v>-0.896428571428571</v>
      </c>
      <c r="E471" s="47" t="n">
        <f aca="false">E464-(Inputs!$B$37*E468+(1-Inputs!$B$37)*E469)</f>
        <v>0.246428571428571</v>
      </c>
      <c r="F471" s="47" t="n">
        <f aca="false">F464-(Inputs!$B$37*F468+(1-Inputs!$B$37)*F469)</f>
        <v>0.371428571428571</v>
      </c>
    </row>
    <row r="472" customFormat="false" ht="15" hidden="false" customHeight="false" outlineLevel="0" collapsed="false">
      <c r="A472" s="10" t="s">
        <v>643</v>
      </c>
      <c r="B472" s="47" t="n">
        <f aca="false">B471*Inputs!$B$79</f>
        <v>0</v>
      </c>
      <c r="C472" s="47" t="n">
        <f aca="false">C471*Inputs!$B$79</f>
        <v>-0.714445714285714</v>
      </c>
      <c r="D472" s="47" t="n">
        <f aca="false">D471*Inputs!$B$79</f>
        <v>-0.216577142857143</v>
      </c>
      <c r="E472" s="47" t="n">
        <f aca="false">E471*Inputs!$B$79</f>
        <v>0.0595371428571429</v>
      </c>
      <c r="F472" s="47" t="n">
        <f aca="false">F471*Inputs!$B$79</f>
        <v>0.0897371428571429</v>
      </c>
    </row>
    <row r="473" customFormat="false" ht="15" hidden="false" customHeight="false" outlineLevel="0" collapsed="false">
      <c r="A473" s="13" t="s">
        <v>644</v>
      </c>
      <c r="B473" s="18" t="n">
        <f aca="false">B470+B469-B472-B468</f>
        <v>0</v>
      </c>
      <c r="C473" s="18" t="n">
        <f aca="false">C470+C469-C472-C468</f>
        <v>-2.66055428571429</v>
      </c>
      <c r="D473" s="18" t="n">
        <f aca="false">D470+D469-D472-D468</f>
        <v>-1.03342285714286</v>
      </c>
      <c r="E473" s="18" t="n">
        <f aca="false">E470+E469-E472-E468</f>
        <v>0.315462857142857</v>
      </c>
      <c r="F473" s="18" t="n">
        <f aca="false">F470+F469-F472-F468</f>
        <v>0.410262857142857</v>
      </c>
    </row>
    <row r="474" customFormat="false" ht="15" hidden="false" customHeight="false" outlineLevel="0" collapsed="false">
      <c r="A474" s="10" t="s">
        <v>645</v>
      </c>
      <c r="B474" s="47" t="n">
        <f aca="false">$F$470*(1-Inputs!$B$79)+$F$469-$F$468</f>
        <v>0.482742857142857</v>
      </c>
    </row>
    <row r="475" customFormat="false" ht="15" hidden="false" customHeight="false" outlineLevel="0" collapsed="false">
      <c r="A475" s="10" t="s">
        <v>646</v>
      </c>
      <c r="B475" s="47" t="n">
        <f aca="false">SUMPRODUCT($C$473:$F$473,$C$527:$F$527)+$F$470*(1-Inputs!$B$79)*Inputs!$B$30*$F$527</f>
        <v>-1.84261840513332</v>
      </c>
    </row>
    <row r="476" customFormat="false" ht="15" hidden="false" customHeight="false" outlineLevel="0" collapsed="false">
      <c r="A476" s="10" t="s">
        <v>647</v>
      </c>
      <c r="B476" s="47" t="n">
        <f aca="false">SUMPRODUCT($C$473:$F$473,$C$527:$F$527)+$B$474*Inputs!$B$31*$F$527</f>
        <v>3.62522509796969</v>
      </c>
    </row>
    <row r="477" customFormat="false" ht="15" hidden="false" customHeight="false" outlineLevel="0" collapsed="false">
      <c r="A477" s="13" t="s">
        <v>648</v>
      </c>
      <c r="B477" s="18" t="n">
        <f aca="false">Inputs!$B$7*$B$475+(1-Inputs!$B$7)*$B$476</f>
        <v>0.891303346418186</v>
      </c>
    </row>
    <row r="479" customFormat="false" ht="15" hidden="false" customHeight="false" outlineLevel="0" collapsed="false">
      <c r="A479" s="8" t="s">
        <v>650</v>
      </c>
      <c r="B479" s="9" t="s">
        <v>495</v>
      </c>
      <c r="C479" s="9" t="s">
        <v>496</v>
      </c>
      <c r="D479" s="9" t="s">
        <v>497</v>
      </c>
      <c r="E479" s="9" t="s">
        <v>498</v>
      </c>
      <c r="F479" s="9" t="s">
        <v>499</v>
      </c>
    </row>
    <row r="480" customFormat="false" ht="15" hidden="false" customHeight="false" outlineLevel="0" collapsed="false">
      <c r="A480" s="10" t="s">
        <v>628</v>
      </c>
    </row>
    <row r="481" customFormat="false" ht="15" hidden="false" customHeight="false" outlineLevel="0" collapsed="false">
      <c r="A481" s="10" t="s">
        <v>629</v>
      </c>
    </row>
    <row r="482" customFormat="false" ht="15" hidden="false" customHeight="false" outlineLevel="0" collapsed="false">
      <c r="A482" s="10" t="s">
        <v>630</v>
      </c>
    </row>
    <row r="483" customFormat="false" ht="15" hidden="false" customHeight="false" outlineLevel="0" collapsed="false">
      <c r="A483" s="10" t="s">
        <v>631</v>
      </c>
      <c r="B483" s="26" t="n">
        <v>0</v>
      </c>
      <c r="C483" s="47" t="n">
        <f aca="false">Inputs!$B$76</f>
        <v>1</v>
      </c>
      <c r="D483" s="47" t="n">
        <f aca="false">Inputs!$B$76</f>
        <v>1</v>
      </c>
      <c r="E483" s="47" t="n">
        <f aca="false">Inputs!$B$76</f>
        <v>1</v>
      </c>
      <c r="F483" s="47" t="n">
        <f aca="false">Inputs!$B$76</f>
        <v>1</v>
      </c>
    </row>
    <row r="484" customFormat="false" ht="15" hidden="false" customHeight="false" outlineLevel="0" collapsed="false">
      <c r="A484" s="10" t="s">
        <v>632</v>
      </c>
    </row>
    <row r="485" customFormat="false" ht="15" hidden="false" customHeight="false" outlineLevel="0" collapsed="false">
      <c r="A485" s="10" t="s">
        <v>633</v>
      </c>
    </row>
    <row r="486" customFormat="false" ht="15" hidden="false" customHeight="false" outlineLevel="0" collapsed="false">
      <c r="A486" s="10" t="s">
        <v>634</v>
      </c>
    </row>
    <row r="487" customFormat="false" ht="15" hidden="false" customHeight="false" outlineLevel="0" collapsed="false">
      <c r="A487" s="10" t="s">
        <v>635</v>
      </c>
      <c r="B487" s="47" t="n">
        <f aca="false">-B490</f>
        <v>-0</v>
      </c>
      <c r="C487" s="47" t="n">
        <f aca="false">-C490</f>
        <v>-0.236421725239617</v>
      </c>
      <c r="D487" s="47" t="n">
        <f aca="false">-D490</f>
        <v>-0.236421725239617</v>
      </c>
      <c r="E487" s="47" t="n">
        <f aca="false">-E490</f>
        <v>-0.236421725239617</v>
      </c>
      <c r="F487" s="47" t="n">
        <f aca="false">-F490</f>
        <v>-0.236421725239617</v>
      </c>
    </row>
    <row r="488" customFormat="false" ht="15" hidden="false" customHeight="false" outlineLevel="0" collapsed="false">
      <c r="A488" s="10" t="s">
        <v>636</v>
      </c>
      <c r="B488" s="26" t="n">
        <v>0</v>
      </c>
      <c r="C488" s="26" t="n">
        <v>0</v>
      </c>
      <c r="D488" s="26" t="n">
        <v>0</v>
      </c>
      <c r="E488" s="26" t="n">
        <v>0</v>
      </c>
      <c r="F488" s="26" t="n">
        <v>0</v>
      </c>
    </row>
    <row r="489" customFormat="false" ht="15" hidden="false" customHeight="false" outlineLevel="0" collapsed="false">
      <c r="A489" s="10" t="s">
        <v>637</v>
      </c>
      <c r="B489" s="26" t="n">
        <v>0</v>
      </c>
      <c r="C489" s="26" t="n">
        <v>0</v>
      </c>
      <c r="D489" s="26" t="n">
        <v>0</v>
      </c>
      <c r="E489" s="26" t="n">
        <v>0</v>
      </c>
      <c r="F489" s="26" t="n">
        <v>0</v>
      </c>
    </row>
    <row r="490" customFormat="false" ht="15" hidden="false" customHeight="false" outlineLevel="0" collapsed="false">
      <c r="A490" s="10" t="s">
        <v>638</v>
      </c>
      <c r="B490" s="47" t="n">
        <f aca="false">B483*Inputs!$B$77</f>
        <v>0</v>
      </c>
      <c r="C490" s="47" t="n">
        <f aca="false">C483*Inputs!$B$77</f>
        <v>0.236421725239617</v>
      </c>
      <c r="D490" s="47" t="n">
        <f aca="false">D483*Inputs!$B$77</f>
        <v>0.236421725239617</v>
      </c>
      <c r="E490" s="47" t="n">
        <f aca="false">E483*Inputs!$B$77</f>
        <v>0.236421725239617</v>
      </c>
      <c r="F490" s="47" t="n">
        <f aca="false">F483*Inputs!$B$77</f>
        <v>0.236421725239617</v>
      </c>
    </row>
    <row r="491" customFormat="false" ht="15" hidden="false" customHeight="false" outlineLevel="0" collapsed="false">
      <c r="A491" s="10" t="s">
        <v>639</v>
      </c>
      <c r="B491" s="47" t="n">
        <f aca="false">B488-B489-B490</f>
        <v>0</v>
      </c>
      <c r="C491" s="47" t="n">
        <f aca="false">C488-C489-C490</f>
        <v>-0.236421725239617</v>
      </c>
      <c r="D491" s="47" t="n">
        <f aca="false">D488-D489-D490</f>
        <v>-0.236421725239617</v>
      </c>
      <c r="E491" s="47" t="n">
        <f aca="false">E488-E489-E490</f>
        <v>-0.236421725239617</v>
      </c>
      <c r="F491" s="47" t="n">
        <f aca="false">F488-F489-F490</f>
        <v>-0.236421725239617</v>
      </c>
    </row>
    <row r="492" customFormat="false" ht="15" hidden="false" customHeight="false" outlineLevel="0" collapsed="false">
      <c r="A492" s="10" t="s">
        <v>640</v>
      </c>
      <c r="B492" s="26" t="n">
        <v>0</v>
      </c>
      <c r="C492" s="47" t="n">
        <f aca="false">C491*0.5/Inputs!$B$47</f>
        <v>-0.0168872660885441</v>
      </c>
      <c r="D492" s="47" t="n">
        <f aca="false">C491*IF(1&lt;=Inputs!$B$47-1,1,IF(1=Inputs!$B$47,0.5,0))/Inputs!$B$47+D491*0.5/Inputs!$B$47</f>
        <v>-0.0506617982656322</v>
      </c>
      <c r="E492" s="47" t="n">
        <f aca="false">C491*IF(2&lt;=Inputs!$B$47-1,1,IF(2=Inputs!$B$47,0.5,0))/Inputs!$B$47+D491*IF(1&lt;=Inputs!$B$47-1,1,IF(1=Inputs!$B$47,0.5,0))/Inputs!$B$47+E491*0.5/Inputs!$B$47</f>
        <v>-0.0844363304427202</v>
      </c>
      <c r="F492" s="47" t="n">
        <f aca="false">C491*IF(3&lt;=Inputs!$B$47-1,1,IF(3=Inputs!$B$47,0.5,0))/Inputs!$B$47+D491*IF(2&lt;=Inputs!$B$47-1,1,IF(2=Inputs!$B$47,0.5,0))/Inputs!$B$47+E491*IF(1&lt;=Inputs!$B$47-1,1,IF(1=Inputs!$B$47,0.5,0))/Inputs!$B$47+F491*0.5/Inputs!$B$47</f>
        <v>-0.118210862619808</v>
      </c>
      <c r="G492" s="6" t="s">
        <v>651</v>
      </c>
    </row>
    <row r="493" customFormat="false" ht="15" hidden="false" customHeight="false" outlineLevel="0" collapsed="false">
      <c r="A493" s="13" t="s">
        <v>641</v>
      </c>
      <c r="B493" s="18" t="n">
        <f aca="false">B487-B492</f>
        <v>-0</v>
      </c>
      <c r="C493" s="18" t="n">
        <f aca="false">C487-C492</f>
        <v>-0.219534459151073</v>
      </c>
      <c r="D493" s="18" t="n">
        <f aca="false">D487-D492</f>
        <v>-0.185759926973985</v>
      </c>
      <c r="E493" s="18" t="n">
        <f aca="false">E487-E492</f>
        <v>-0.151985394796896</v>
      </c>
      <c r="F493" s="18" t="n">
        <f aca="false">F487-F492</f>
        <v>-0.118210862619808</v>
      </c>
    </row>
    <row r="494" customFormat="false" ht="15" hidden="false" customHeight="false" outlineLevel="0" collapsed="false">
      <c r="A494" s="10" t="s">
        <v>642</v>
      </c>
      <c r="B494" s="47" t="n">
        <f aca="false">B487-(Inputs!$B$37*B491+(1-Inputs!$B$37)*B492)</f>
        <v>-0</v>
      </c>
      <c r="C494" s="47" t="n">
        <f aca="false">C487-(Inputs!$B$37*C491+(1-Inputs!$B$37)*C492)</f>
        <v>-0.0658603377453218</v>
      </c>
      <c r="D494" s="47" t="n">
        <f aca="false">D487-(Inputs!$B$37*D491+(1-Inputs!$B$37)*D492)</f>
        <v>-0.0557279780921954</v>
      </c>
      <c r="E494" s="47" t="n">
        <f aca="false">E487-(Inputs!$B$37*E491+(1-Inputs!$B$37)*E492)</f>
        <v>-0.0455956184390689</v>
      </c>
      <c r="F494" s="47" t="n">
        <f aca="false">F487-(Inputs!$B$37*F491+(1-Inputs!$B$37)*F492)</f>
        <v>-0.0354632587859425</v>
      </c>
    </row>
    <row r="495" customFormat="false" ht="15" hidden="false" customHeight="false" outlineLevel="0" collapsed="false">
      <c r="A495" s="10" t="s">
        <v>643</v>
      </c>
      <c r="B495" s="47" t="n">
        <f aca="false">B494*Inputs!$B$79</f>
        <v>-0</v>
      </c>
      <c r="C495" s="47" t="n">
        <f aca="false">C494*Inputs!$B$79</f>
        <v>-0.0159118575992697</v>
      </c>
      <c r="D495" s="47" t="n">
        <f aca="false">D494*Inputs!$B$79</f>
        <v>-0.0134638795070744</v>
      </c>
      <c r="E495" s="47" t="n">
        <f aca="false">E494*Inputs!$B$79</f>
        <v>-0.0110159014148791</v>
      </c>
      <c r="F495" s="47" t="n">
        <f aca="false">F494*Inputs!$B$79</f>
        <v>-0.00856792332268371</v>
      </c>
    </row>
    <row r="496" customFormat="false" ht="15" hidden="false" customHeight="false" outlineLevel="0" collapsed="false">
      <c r="A496" s="13" t="s">
        <v>644</v>
      </c>
      <c r="B496" s="18" t="n">
        <f aca="false">B493+B492-B495-B491</f>
        <v>0</v>
      </c>
      <c r="C496" s="18" t="n">
        <f aca="false">C493+C492-C495-C491</f>
        <v>0.0159118575992697</v>
      </c>
      <c r="D496" s="18" t="n">
        <f aca="false">D493+D492-D495-D491</f>
        <v>0.0134638795070744</v>
      </c>
      <c r="E496" s="18" t="n">
        <f aca="false">E493+E492-E495-E491</f>
        <v>0.011015901414879</v>
      </c>
      <c r="F496" s="18" t="n">
        <f aca="false">F493+F492-F495-F491</f>
        <v>0.00856792332268372</v>
      </c>
    </row>
    <row r="497" customFormat="false" ht="15" hidden="false" customHeight="false" outlineLevel="0" collapsed="false">
      <c r="A497" s="10" t="s">
        <v>645</v>
      </c>
      <c r="B497" s="47" t="n">
        <f aca="false">$F$493*(1-Inputs!$B$79)+$F$492-$F$491</f>
        <v>0.0285597444089457</v>
      </c>
    </row>
    <row r="498" customFormat="false" ht="15" hidden="false" customHeight="false" outlineLevel="0" collapsed="false">
      <c r="A498" s="10" t="s">
        <v>646</v>
      </c>
      <c r="B498" s="47" t="n">
        <f aca="false">SUMPRODUCT($C$496:$F$496,$C$527:$F$527)+$F$493*(1-Inputs!$B$79)*Inputs!$B$30*$F$527</f>
        <v>-1.43743792866456</v>
      </c>
    </row>
    <row r="499" customFormat="false" ht="15" hidden="false" customHeight="false" outlineLevel="0" collapsed="false">
      <c r="A499" s="10" t="s">
        <v>647</v>
      </c>
      <c r="B499" s="47" t="n">
        <f aca="false">SUMPRODUCT($C$496:$F$496,$C$527:$F$527)+$B$497*Inputs!$B$31*$F$527</f>
        <v>0.415225047257938</v>
      </c>
    </row>
    <row r="500" customFormat="false" ht="15" hidden="false" customHeight="false" outlineLevel="0" collapsed="false">
      <c r="A500" s="13" t="s">
        <v>648</v>
      </c>
      <c r="B500" s="18" t="n">
        <f aca="false">Inputs!$B$7*$B$498+(1-Inputs!$B$7)*$B$499</f>
        <v>-0.511106440703309</v>
      </c>
    </row>
    <row r="502" customFormat="false" ht="15" hidden="false" customHeight="false" outlineLevel="0" collapsed="false">
      <c r="A502" s="8" t="s">
        <v>62</v>
      </c>
      <c r="B502" s="9" t="s">
        <v>495</v>
      </c>
      <c r="C502" s="9" t="s">
        <v>496</v>
      </c>
      <c r="D502" s="9" t="s">
        <v>497</v>
      </c>
      <c r="E502" s="9" t="s">
        <v>498</v>
      </c>
      <c r="F502" s="9" t="s">
        <v>499</v>
      </c>
    </row>
    <row r="503" customFormat="false" ht="15" hidden="false" customHeight="false" outlineLevel="0" collapsed="false">
      <c r="A503" s="13" t="s">
        <v>108</v>
      </c>
      <c r="B503" s="18" t="n">
        <f aca="false">B8+B119+B437-B483</f>
        <v>153.652</v>
      </c>
      <c r="C503" s="18" t="n">
        <f aca="false">C8+C119+C437-C483</f>
        <v>195.11422</v>
      </c>
      <c r="D503" s="18" t="n">
        <f aca="false">D8+D119+D437-D483</f>
        <v>221.5882764</v>
      </c>
      <c r="E503" s="18" t="n">
        <f aca="false">E8+E119+E437-E483</f>
        <v>246.507956568</v>
      </c>
      <c r="F503" s="18" t="n">
        <f aca="false">F8+F119+F437-F483</f>
        <v>270.90836334616</v>
      </c>
    </row>
    <row r="504" customFormat="false" ht="15" hidden="false" customHeight="false" outlineLevel="0" collapsed="false">
      <c r="A504" s="13" t="s">
        <v>513</v>
      </c>
      <c r="B504" s="18" t="n">
        <f aca="false">B20+B129+B447+B493</f>
        <v>5.206</v>
      </c>
      <c r="C504" s="18" t="n">
        <f aca="false">C20+C129+C447+C493</f>
        <v>14.5142185224322</v>
      </c>
      <c r="D504" s="18" t="n">
        <f aca="false">D20+D129+D447+D493</f>
        <v>15.6020172865617</v>
      </c>
      <c r="E504" s="18" t="n">
        <f aca="false">E20+E129+E447+E493</f>
        <v>15.0086504932287</v>
      </c>
      <c r="F504" s="18" t="n">
        <f aca="false">F20+F129+F447+F493</f>
        <v>16.920148987645</v>
      </c>
    </row>
    <row r="505" customFormat="false" ht="15" hidden="false" customHeight="false" outlineLevel="0" collapsed="false">
      <c r="A505" s="10" t="s">
        <v>514</v>
      </c>
      <c r="B505" s="19" t="n">
        <f aca="false">IFERROR(B504/B503,0)</f>
        <v>0.0338817587795798</v>
      </c>
      <c r="C505" s="19" t="n">
        <f aca="false">IFERROR(C504/C503,0)</f>
        <v>0.0743883173785703</v>
      </c>
      <c r="D505" s="19" t="n">
        <f aca="false">IFERROR(D504/D503,0)</f>
        <v>0.0704099401829259</v>
      </c>
      <c r="E505" s="19" t="n">
        <f aca="false">IFERROR(E504/E503,0)</f>
        <v>0.0608850549985739</v>
      </c>
      <c r="F505" s="19" t="n">
        <f aca="false">IFERROR(F504/F503,0)</f>
        <v>0.0624570935302755</v>
      </c>
    </row>
    <row r="506" customFormat="false" ht="15" hidden="false" customHeight="false" outlineLevel="0" collapsed="false">
      <c r="A506" s="10" t="s">
        <v>616</v>
      </c>
      <c r="B506" s="47" t="n">
        <f aca="false">B25+B131+B445+B491</f>
        <v>108.069</v>
      </c>
      <c r="C506" s="47" t="n">
        <f aca="false">C25+C131+C445+C491</f>
        <v>103.22005627476</v>
      </c>
      <c r="D506" s="47" t="n">
        <f aca="false">D25+D131+D445+D491</f>
        <v>97.8383190854271</v>
      </c>
      <c r="E506" s="47" t="n">
        <f aca="false">E25+E131+E445+E491</f>
        <v>78.4109142234537</v>
      </c>
      <c r="F506" s="47" t="n">
        <f aca="false">F25+F131+F445+F491</f>
        <v>47.5410039419532</v>
      </c>
    </row>
    <row r="507" customFormat="false" ht="15" hidden="false" customHeight="false" outlineLevel="0" collapsed="false">
      <c r="A507" s="10" t="s">
        <v>652</v>
      </c>
      <c r="B507" s="47" t="n">
        <f aca="false">B44+B148+B449+B495</f>
        <v>0.0621</v>
      </c>
      <c r="C507" s="47" t="n">
        <f aca="false">C44+C148+C449+C495</f>
        <v>-0.37831185759927</v>
      </c>
      <c r="D507" s="47" t="n">
        <f aca="false">D44+D148+D449+D495</f>
        <v>0.279888981932926</v>
      </c>
      <c r="E507" s="47" t="n">
        <f aca="false">E44+E148+E449+E495</f>
        <v>0.493179351382921</v>
      </c>
      <c r="F507" s="47" t="n">
        <f aca="false">F44+F148+F449+F495</f>
        <v>1.45058816938418</v>
      </c>
    </row>
    <row r="508" customFormat="false" ht="15" hidden="false" customHeight="false" outlineLevel="0" collapsed="false">
      <c r="A508" s="13" t="s">
        <v>653</v>
      </c>
      <c r="B508" s="18" t="n">
        <f aca="false">B49+B153+B450+B496</f>
        <v>-39.2731</v>
      </c>
      <c r="C508" s="18" t="n">
        <f aca="false">C49+C153+C450+C496</f>
        <v>-55.1697001424007</v>
      </c>
      <c r="D508" s="18" t="n">
        <f aca="false">D49+D153+D450+D496</f>
        <v>-39.3014500659329</v>
      </c>
      <c r="E508" s="18" t="n">
        <f aca="false">E49+E153+E450+E496</f>
        <v>-12.3500310448763</v>
      </c>
      <c r="F508" s="18" t="n">
        <f aca="false">F49+F153+F450+F496</f>
        <v>24.239059553347</v>
      </c>
    </row>
    <row r="509" customFormat="false" ht="15" hidden="false" customHeight="false" outlineLevel="0" collapsed="false">
      <c r="A509" s="10" t="s">
        <v>543</v>
      </c>
      <c r="C509" s="47" t="n">
        <f aca="false">C50+C154+C450+C496</f>
        <v>-43.7994153424007</v>
      </c>
      <c r="D509" s="47" t="n">
        <f aca="false">D50+D154+D450+D496</f>
        <v>-25.9778682099329</v>
      </c>
      <c r="E509" s="47" t="n">
        <f aca="false">E50+E154+E450+E496</f>
        <v>2.75583381784375</v>
      </c>
      <c r="F509" s="47" t="n">
        <f aca="false">F50+F154+F450+F496</f>
        <v>41.0165321651934</v>
      </c>
      <c r="G509" s="6" t="s">
        <v>654</v>
      </c>
    </row>
    <row r="510" customFormat="false" ht="15" hidden="false" customHeight="false" outlineLevel="0" collapsed="false">
      <c r="A510" s="10" t="s">
        <v>544</v>
      </c>
      <c r="C510" s="47" t="n">
        <f aca="false">B521</f>
        <v>99.2039246231156</v>
      </c>
      <c r="D510" s="47" t="n">
        <f aca="false">C521</f>
        <v>55.5985385440583</v>
      </c>
      <c r="E510" s="47" t="n">
        <f aca="false">D521</f>
        <v>28.3985929642924</v>
      </c>
      <c r="F510" s="47" t="n">
        <f aca="false">E521</f>
        <v>29.4085496341041</v>
      </c>
    </row>
    <row r="511" customFormat="false" ht="15" hidden="false" customHeight="false" outlineLevel="0" collapsed="false">
      <c r="A511" s="10" t="s">
        <v>545</v>
      </c>
      <c r="C511" s="47" t="n">
        <f aca="false">B522</f>
        <v>48.367</v>
      </c>
      <c r="D511" s="47" t="n">
        <f aca="false">C522</f>
        <v>48.367</v>
      </c>
      <c r="E511" s="47" t="n">
        <f aca="false">D522</f>
        <v>48.367</v>
      </c>
      <c r="F511" s="47" t="n">
        <f aca="false">E522</f>
        <v>48.367</v>
      </c>
    </row>
    <row r="512" customFormat="false" ht="15" hidden="false" customHeight="false" outlineLevel="0" collapsed="false">
      <c r="A512" s="10" t="s">
        <v>546</v>
      </c>
      <c r="C512" s="47" t="n">
        <f aca="false">Inputs!$B$62+Inputs!$B$63</f>
        <v>0</v>
      </c>
      <c r="D512" s="26" t="n">
        <v>0</v>
      </c>
      <c r="E512" s="26" t="n">
        <v>0</v>
      </c>
      <c r="F512" s="26" t="n">
        <v>0</v>
      </c>
    </row>
    <row r="513" customFormat="false" ht="15" hidden="false" customHeight="false" outlineLevel="0" collapsed="false">
      <c r="A513" s="10" t="s">
        <v>547</v>
      </c>
      <c r="C513" s="47" t="n">
        <f aca="false">(C510+C509-C512+Inputs!$B$60*C510/2-Inputs!$B$61*(C511-C512/2))/(1-Inputs!$B$60/2)</f>
        <v>55.5985385440583</v>
      </c>
      <c r="D513" s="47" t="n">
        <f aca="false">(D510+D509-D512+Inputs!$B$60*D510/2-Inputs!$B$61*(D511-D512/2))/(1-Inputs!$B$60/2)</f>
        <v>28.3985929642924</v>
      </c>
      <c r="E513" s="47" t="n">
        <f aca="false">(E510+E509-E512+Inputs!$B$60*E510/2-Inputs!$B$61*(E511-E512/2))/(1-Inputs!$B$60/2)</f>
        <v>29.4085496341041</v>
      </c>
      <c r="F513" s="47" t="n">
        <f aca="false">(F510+F509-F512+Inputs!$B$60*F510/2-Inputs!$B$61*(F511-F512/2))/(1-Inputs!$B$60/2)</f>
        <v>69.5012579509996</v>
      </c>
    </row>
    <row r="514" customFormat="false" ht="15" hidden="false" customHeight="false" outlineLevel="0" collapsed="false">
      <c r="A514" s="10" t="s">
        <v>548</v>
      </c>
      <c r="C514" s="47" t="n">
        <f aca="false">IF(C513&gt;=Inputs!$B$68,0,(Inputs!$B$68-C510-C509+C512-Inputs!$B$60*(C510+Inputs!$B$68)/2+Inputs!$B$61*(C511-C512/2))/(1-Inputs!$B$61*Inputs!$B$69/(2*(1-Inputs!$B$70))))</f>
        <v>0</v>
      </c>
      <c r="D514" s="47" t="n">
        <f aca="false">IF(D513&gt;=Inputs!$B$68,0,(Inputs!$B$68-D510-D509+D512-Inputs!$B$60*(D510+Inputs!$B$68)/2+Inputs!$B$61*(D511-D512/2))/(1-Inputs!$B$61*Inputs!$B$69/(2*(1-Inputs!$B$70))))</f>
        <v>0</v>
      </c>
      <c r="E514" s="47" t="n">
        <f aca="false">IF(E513&gt;=Inputs!$B$68,0,(Inputs!$B$68-E510-E509+E512-Inputs!$B$60*(E510+Inputs!$B$68)/2+Inputs!$B$61*(E511-E512/2))/(1-Inputs!$B$61*Inputs!$B$69/(2*(1-Inputs!$B$70))))</f>
        <v>0</v>
      </c>
      <c r="F514" s="47" t="n">
        <f aca="false">IF(F513&gt;=Inputs!$B$68,0,(Inputs!$B$68-F510-F509+F512-Inputs!$B$60*(F510+Inputs!$B$68)/2+Inputs!$B$61*(F511-F512/2))/(1-Inputs!$B$61*Inputs!$B$69/(2*(1-Inputs!$B$70))))</f>
        <v>0</v>
      </c>
    </row>
    <row r="515" customFormat="false" ht="15" hidden="false" customHeight="false" outlineLevel="0" collapsed="false">
      <c r="A515" s="10" t="s">
        <v>549</v>
      </c>
      <c r="C515" s="47" t="n">
        <f aca="false">C514/(1-Inputs!$B$70)</f>
        <v>0</v>
      </c>
      <c r="D515" s="47" t="n">
        <f aca="false">D514/(1-Inputs!$B$70)</f>
        <v>0</v>
      </c>
      <c r="E515" s="47" t="n">
        <f aca="false">E514/(1-Inputs!$B$70)</f>
        <v>0</v>
      </c>
      <c r="F515" s="47" t="n">
        <f aca="false">F514/(1-Inputs!$B$70)</f>
        <v>0</v>
      </c>
    </row>
    <row r="516" customFormat="false" ht="15" hidden="false" customHeight="false" outlineLevel="0" collapsed="false">
      <c r="A516" s="10" t="s">
        <v>550</v>
      </c>
      <c r="C516" s="47" t="n">
        <f aca="false">C515*Inputs!$B$69</f>
        <v>0</v>
      </c>
      <c r="D516" s="47" t="n">
        <f aca="false">D515*Inputs!$B$69</f>
        <v>0</v>
      </c>
      <c r="E516" s="47" t="n">
        <f aca="false">E515*Inputs!$B$69</f>
        <v>0</v>
      </c>
      <c r="F516" s="47" t="n">
        <f aca="false">F515*Inputs!$B$69</f>
        <v>0</v>
      </c>
    </row>
    <row r="517" customFormat="false" ht="15" hidden="false" customHeight="false" outlineLevel="0" collapsed="false">
      <c r="A517" s="10" t="s">
        <v>551</v>
      </c>
      <c r="C517" s="47" t="n">
        <f aca="false">C515-C516</f>
        <v>0</v>
      </c>
      <c r="D517" s="47" t="n">
        <f aca="false">D515-D516</f>
        <v>0</v>
      </c>
      <c r="E517" s="47" t="n">
        <f aca="false">E515-E516</f>
        <v>0</v>
      </c>
      <c r="F517" s="47" t="n">
        <f aca="false">F515-F516</f>
        <v>0</v>
      </c>
    </row>
    <row r="518" customFormat="false" ht="15" hidden="false" customHeight="false" outlineLevel="0" collapsed="false">
      <c r="A518" s="10" t="s">
        <v>552</v>
      </c>
      <c r="C518" s="47" t="n">
        <f aca="false">C515-C514</f>
        <v>0</v>
      </c>
      <c r="D518" s="47" t="n">
        <f aca="false">D515-D514</f>
        <v>0</v>
      </c>
      <c r="E518" s="47" t="n">
        <f aca="false">E515-E514</f>
        <v>0</v>
      </c>
      <c r="F518" s="47" t="n">
        <f aca="false">F515-F514</f>
        <v>0</v>
      </c>
    </row>
    <row r="519" customFormat="false" ht="15" hidden="false" customHeight="false" outlineLevel="0" collapsed="false">
      <c r="A519" s="10" t="s">
        <v>553</v>
      </c>
      <c r="C519" s="47" t="n">
        <f aca="false">Inputs!$B$60*(C510+C521)/2</f>
        <v>3.09604926334348</v>
      </c>
      <c r="D519" s="47" t="n">
        <f aca="false">Inputs!$B$60*(D510+D521)/2</f>
        <v>1.67994263016701</v>
      </c>
      <c r="E519" s="47" t="n">
        <f aca="false">Inputs!$B$60*(E510+E521)/2</f>
        <v>1.15614285196793</v>
      </c>
      <c r="F519" s="47" t="n">
        <f aca="false">Inputs!$B$60*(F510+F521)/2</f>
        <v>1.97819615170207</v>
      </c>
    </row>
    <row r="520" customFormat="false" ht="15" hidden="false" customHeight="false" outlineLevel="0" collapsed="false">
      <c r="A520" s="10" t="s">
        <v>554</v>
      </c>
      <c r="C520" s="47" t="n">
        <f aca="false">Inputs!$B$61*(C511-C512/2+C516/2)</f>
        <v>2.90202</v>
      </c>
      <c r="D520" s="47" t="n">
        <f aca="false">Inputs!$B$61*(D511-D512/2+D516/2)</f>
        <v>2.90202</v>
      </c>
      <c r="E520" s="47" t="n">
        <f aca="false">Inputs!$B$61*(E511-E512/2+E516/2)</f>
        <v>2.90202</v>
      </c>
      <c r="F520" s="47" t="n">
        <f aca="false">Inputs!$B$61*(F511-F512/2+F516/2)</f>
        <v>2.90202</v>
      </c>
    </row>
    <row r="521" customFormat="false" ht="15" hidden="false" customHeight="false" outlineLevel="0" collapsed="false">
      <c r="A521" s="13" t="s">
        <v>555</v>
      </c>
      <c r="B521" s="47" t="n">
        <f aca="false">B62+B166</f>
        <v>99.2039246231156</v>
      </c>
      <c r="C521" s="18" t="n">
        <f aca="false">IF(C514&gt;0,Inputs!$B$68,C513)</f>
        <v>55.5985385440583</v>
      </c>
      <c r="D521" s="18" t="n">
        <f aca="false">IF(D514&gt;0,Inputs!$B$68,D513)</f>
        <v>28.3985929642924</v>
      </c>
      <c r="E521" s="18" t="n">
        <f aca="false">IF(E514&gt;0,Inputs!$B$68,E513)</f>
        <v>29.4085496341041</v>
      </c>
      <c r="F521" s="18" t="n">
        <f aca="false">IF(F514&gt;0,Inputs!$B$68,F513)</f>
        <v>69.5012579509996</v>
      </c>
    </row>
    <row r="522" customFormat="false" ht="15" hidden="false" customHeight="false" outlineLevel="0" collapsed="false">
      <c r="A522" s="10" t="s">
        <v>556</v>
      </c>
      <c r="B522" s="47" t="n">
        <f aca="false">B63+B167</f>
        <v>48.367</v>
      </c>
      <c r="C522" s="47" t="n">
        <f aca="false">C511-C512+C516</f>
        <v>48.367</v>
      </c>
      <c r="D522" s="47" t="n">
        <f aca="false">D511-D512+D516</f>
        <v>48.367</v>
      </c>
      <c r="E522" s="47" t="n">
        <f aca="false">E511-E512+E516</f>
        <v>48.367</v>
      </c>
      <c r="F522" s="47" t="n">
        <f aca="false">F511-F512+F516</f>
        <v>48.367</v>
      </c>
    </row>
    <row r="523" customFormat="false" ht="15" hidden="false" customHeight="false" outlineLevel="0" collapsed="false">
      <c r="A523" s="13" t="s">
        <v>557</v>
      </c>
      <c r="B523" s="18" t="n">
        <f aca="false">B521-B522</f>
        <v>50.8369246231156</v>
      </c>
      <c r="C523" s="18" t="n">
        <f aca="false">C521-C522</f>
        <v>7.2315385440583</v>
      </c>
      <c r="D523" s="18" t="n">
        <f aca="false">D521-D522</f>
        <v>-19.9684070357076</v>
      </c>
      <c r="E523" s="18" t="n">
        <f aca="false">E521-E522</f>
        <v>-18.9584503658959</v>
      </c>
      <c r="F523" s="18" t="n">
        <f aca="false">F521-F522</f>
        <v>21.1342579509996</v>
      </c>
    </row>
    <row r="524" customFormat="false" ht="15" hidden="false" customHeight="false" outlineLevel="0" collapsed="false">
      <c r="A524" s="10" t="s">
        <v>558</v>
      </c>
      <c r="C524" s="33" t="n">
        <f aca="false">ROUND(C510+C509-C512+C519-C520+C514-C521,6)</f>
        <v>0</v>
      </c>
      <c r="D524" s="33" t="n">
        <f aca="false">ROUND(D510+D509-D512+D519-D520+D514-D521,6)</f>
        <v>0</v>
      </c>
      <c r="E524" s="33" t="n">
        <f aca="false">ROUND(E510+E509-E512+E519-E520+E514-E521,6)</f>
        <v>0</v>
      </c>
      <c r="F524" s="33" t="n">
        <f aca="false">ROUND(F510+F509-F512+F519-F520+F514-F521,6)</f>
        <v>0</v>
      </c>
    </row>
    <row r="525" customFormat="false" ht="15" hidden="false" customHeight="false" outlineLevel="0" collapsed="false">
      <c r="A525" s="10" t="s">
        <v>559</v>
      </c>
      <c r="B525" s="47" t="n">
        <f aca="false">B66+B170</f>
        <v>0</v>
      </c>
      <c r="C525" s="47" t="n">
        <f aca="false">B525+C515</f>
        <v>0</v>
      </c>
      <c r="D525" s="47" t="n">
        <f aca="false">C525+D515</f>
        <v>0</v>
      </c>
      <c r="E525" s="47" t="n">
        <f aca="false">D525+E515</f>
        <v>0</v>
      </c>
      <c r="F525" s="47" t="n">
        <f aca="false">E525+F515</f>
        <v>0</v>
      </c>
    </row>
    <row r="526" customFormat="false" ht="15" hidden="false" customHeight="false" outlineLevel="0" collapsed="false">
      <c r="A526" s="10" t="s">
        <v>560</v>
      </c>
      <c r="C526" s="49" t="str">
        <f aca="false">IF(C525&gt;Inputs!$B$74,"UNFUNDED: above limit",IF(C515&gt;0,"Raising","OK"))</f>
        <v>OK</v>
      </c>
      <c r="D526" s="49" t="str">
        <f aca="false">IF(D525&gt;Inputs!$B$74,"UNFUNDED: above limit",IF(D515&gt;0,"Raising","OK"))</f>
        <v>OK</v>
      </c>
      <c r="E526" s="49" t="str">
        <f aca="false">IF(E525&gt;Inputs!$B$74,"UNFUNDED: above limit",IF(E515&gt;0,"Raising","OK"))</f>
        <v>OK</v>
      </c>
      <c r="F526" s="49" t="str">
        <f aca="false">IF(F525&gt;Inputs!$B$74,"UNFUNDED: above limit",IF(F515&gt;0,"Raising","OK"))</f>
        <v>OK</v>
      </c>
    </row>
    <row r="527" customFormat="false" ht="15" hidden="false" customHeight="false" outlineLevel="0" collapsed="false">
      <c r="A527" s="10" t="s">
        <v>655</v>
      </c>
      <c r="C527" s="25" t="n">
        <f aca="false">1/(1+Inputs!$B$6)^1</f>
        <v>0.900900900900901</v>
      </c>
      <c r="D527" s="25" t="n">
        <f aca="false">1/(1+Inputs!$B$6)^2</f>
        <v>0.811622433244055</v>
      </c>
      <c r="E527" s="25" t="n">
        <f aca="false">1/(1+Inputs!$B$6)^3</f>
        <v>0.73119138130095</v>
      </c>
      <c r="F527" s="25" t="n">
        <f aca="false">1/(1+Inputs!$B$6)^4</f>
        <v>0.658730974145</v>
      </c>
    </row>
    <row r="529" customFormat="false" ht="15" hidden="false" customHeight="false" outlineLevel="0" collapsed="false">
      <c r="A529" s="8" t="s">
        <v>656</v>
      </c>
      <c r="B529" s="9" t="s">
        <v>495</v>
      </c>
      <c r="C529" s="9" t="s">
        <v>496</v>
      </c>
      <c r="D529" s="9" t="s">
        <v>497</v>
      </c>
      <c r="E529" s="9" t="s">
        <v>498</v>
      </c>
      <c r="F529" s="9" t="s">
        <v>499</v>
      </c>
    </row>
    <row r="530" customFormat="false" ht="15" hidden="false" customHeight="false" outlineLevel="0" collapsed="false">
      <c r="A530" s="10" t="s">
        <v>543</v>
      </c>
      <c r="C530" s="47" t="n">
        <f aca="false">C50+C154+C473+C496</f>
        <v>-45.322369628115</v>
      </c>
      <c r="D530" s="47" t="n">
        <f aca="false">D50+D154+D473+D496</f>
        <v>-27.7696910670758</v>
      </c>
      <c r="E530" s="47" t="n">
        <f aca="false">E50+E154+E473+E496</f>
        <v>1.9336966749866</v>
      </c>
      <c r="F530" s="47" t="n">
        <f aca="false">F50+F154+F473+F496</f>
        <v>39.9099950223363</v>
      </c>
    </row>
    <row r="531" customFormat="false" ht="15" hidden="false" customHeight="false" outlineLevel="0" collapsed="false">
      <c r="A531" s="10" t="s">
        <v>544</v>
      </c>
      <c r="C531" s="47" t="n">
        <f aca="false">B542</f>
        <v>99.2039246231156</v>
      </c>
      <c r="D531" s="47" t="n">
        <f aca="false">C542</f>
        <v>54.0445035586356</v>
      </c>
      <c r="E531" s="47" t="n">
        <f aca="false">D542</f>
        <v>24.9527373089107</v>
      </c>
      <c r="F531" s="47" t="n">
        <f aca="false">E542</f>
        <v>24.9831313572199</v>
      </c>
    </row>
    <row r="532" customFormat="false" ht="15" hidden="false" customHeight="false" outlineLevel="0" collapsed="false">
      <c r="A532" s="10" t="s">
        <v>545</v>
      </c>
      <c r="C532" s="47" t="n">
        <f aca="false">B543</f>
        <v>48.367</v>
      </c>
      <c r="D532" s="47" t="n">
        <f aca="false">C543</f>
        <v>48.367</v>
      </c>
      <c r="E532" s="47" t="n">
        <f aca="false">D543</f>
        <v>48.367</v>
      </c>
      <c r="F532" s="47" t="n">
        <f aca="false">E543</f>
        <v>48.367</v>
      </c>
    </row>
    <row r="533" customFormat="false" ht="15" hidden="false" customHeight="false" outlineLevel="0" collapsed="false">
      <c r="A533" s="10" t="s">
        <v>546</v>
      </c>
      <c r="C533" s="47" t="n">
        <f aca="false">Inputs!$B$62+Inputs!$B$63</f>
        <v>0</v>
      </c>
      <c r="D533" s="26" t="n">
        <v>0</v>
      </c>
      <c r="E533" s="26" t="n">
        <v>0</v>
      </c>
      <c r="F533" s="26" t="n">
        <v>0</v>
      </c>
    </row>
    <row r="534" customFormat="false" ht="15" hidden="false" customHeight="false" outlineLevel="0" collapsed="false">
      <c r="A534" s="10" t="s">
        <v>547</v>
      </c>
      <c r="C534" s="47" t="n">
        <f aca="false">(C531+C530-C533+Inputs!$B$60*C531/2-Inputs!$B$61*(C532-C533/2))/(1-Inputs!$B$60/2)</f>
        <v>54.0445035586356</v>
      </c>
      <c r="D534" s="47" t="n">
        <f aca="false">(D531+D530-D533+Inputs!$B$60*D531/2-Inputs!$B$61*(D532-D533/2))/(1-Inputs!$B$60/2)</f>
        <v>24.9527373089107</v>
      </c>
      <c r="E534" s="47" t="n">
        <f aca="false">(E531+E530-E533+Inputs!$B$60*E531/2-Inputs!$B$61*(E532-E533/2))/(1-Inputs!$B$60/2)</f>
        <v>24.9831313572199</v>
      </c>
      <c r="F534" s="47" t="n">
        <f aca="false">(F531+F530-F533+Inputs!$B$60*F531/2-Inputs!$B$61*(F532-F533/2))/(1-Inputs!$B$60/2)</f>
        <v>63.7660908231639</v>
      </c>
    </row>
    <row r="535" customFormat="false" ht="15" hidden="false" customHeight="false" outlineLevel="0" collapsed="false">
      <c r="A535" s="10" t="s">
        <v>548</v>
      </c>
      <c r="C535" s="47" t="n">
        <f aca="false">IF(C534&gt;=Inputs!$B$68,0,(Inputs!$B$68-C531-C530+C533-Inputs!$B$60*(C531+Inputs!$B$68)/2+Inputs!$B$61*(C532-C533/2))/(1-Inputs!$B$61*Inputs!$B$69/(2*(1-Inputs!$B$70))))</f>
        <v>0</v>
      </c>
      <c r="D535" s="47" t="n">
        <f aca="false">IF(D534&gt;=Inputs!$B$68,0,(Inputs!$B$68-D531-D530+D533-Inputs!$B$60*(D531+Inputs!$B$68)/2+Inputs!$B$61*(D532-D533/2))/(1-Inputs!$B$61*Inputs!$B$69/(2*(1-Inputs!$B$70))))</f>
        <v>0</v>
      </c>
      <c r="E535" s="47" t="n">
        <f aca="false">IF(E534&gt;=Inputs!$B$68,0,(Inputs!$B$68-E531-E530+E533-Inputs!$B$60*(E531+Inputs!$B$68)/2+Inputs!$B$61*(E532-E533/2))/(1-Inputs!$B$61*Inputs!$B$69/(2*(1-Inputs!$B$70))))</f>
        <v>0</v>
      </c>
      <c r="F535" s="47" t="n">
        <f aca="false">IF(F534&gt;=Inputs!$B$68,0,(Inputs!$B$68-F531-F530+F533-Inputs!$B$60*(F531+Inputs!$B$68)/2+Inputs!$B$61*(F532-F533/2))/(1-Inputs!$B$61*Inputs!$B$69/(2*(1-Inputs!$B$70))))</f>
        <v>0</v>
      </c>
    </row>
    <row r="536" customFormat="false" ht="15" hidden="false" customHeight="false" outlineLevel="0" collapsed="false">
      <c r="A536" s="10" t="s">
        <v>549</v>
      </c>
      <c r="C536" s="47" t="n">
        <f aca="false">C535/(1-Inputs!$B$70)</f>
        <v>0</v>
      </c>
      <c r="D536" s="47" t="n">
        <f aca="false">D535/(1-Inputs!$B$70)</f>
        <v>0</v>
      </c>
      <c r="E536" s="47" t="n">
        <f aca="false">E535/(1-Inputs!$B$70)</f>
        <v>0</v>
      </c>
      <c r="F536" s="47" t="n">
        <f aca="false">F535/(1-Inputs!$B$70)</f>
        <v>0</v>
      </c>
    </row>
    <row r="537" customFormat="false" ht="15" hidden="false" customHeight="false" outlineLevel="0" collapsed="false">
      <c r="A537" s="10" t="s">
        <v>550</v>
      </c>
      <c r="C537" s="47" t="n">
        <f aca="false">C536*Inputs!$B$69</f>
        <v>0</v>
      </c>
      <c r="D537" s="47" t="n">
        <f aca="false">D536*Inputs!$B$69</f>
        <v>0</v>
      </c>
      <c r="E537" s="47" t="n">
        <f aca="false">E536*Inputs!$B$69</f>
        <v>0</v>
      </c>
      <c r="F537" s="47" t="n">
        <f aca="false">F536*Inputs!$B$69</f>
        <v>0</v>
      </c>
    </row>
    <row r="538" customFormat="false" ht="15" hidden="false" customHeight="false" outlineLevel="0" collapsed="false">
      <c r="A538" s="10" t="s">
        <v>551</v>
      </c>
      <c r="C538" s="47" t="n">
        <f aca="false">C536-C537</f>
        <v>0</v>
      </c>
      <c r="D538" s="47" t="n">
        <f aca="false">D536-D537</f>
        <v>0</v>
      </c>
      <c r="E538" s="47" t="n">
        <f aca="false">E536-E537</f>
        <v>0</v>
      </c>
      <c r="F538" s="47" t="n">
        <f aca="false">F536-F537</f>
        <v>0</v>
      </c>
    </row>
    <row r="539" customFormat="false" ht="15" hidden="false" customHeight="false" outlineLevel="0" collapsed="false">
      <c r="A539" s="10" t="s">
        <v>552</v>
      </c>
      <c r="C539" s="47" t="n">
        <f aca="false">C536-C535</f>
        <v>0</v>
      </c>
      <c r="D539" s="47" t="n">
        <f aca="false">D536-D535</f>
        <v>0</v>
      </c>
      <c r="E539" s="47" t="n">
        <f aca="false">E536-E535</f>
        <v>0</v>
      </c>
      <c r="F539" s="47" t="n">
        <f aca="false">F536-F535</f>
        <v>0</v>
      </c>
    </row>
    <row r="540" customFormat="false" ht="15" hidden="false" customHeight="false" outlineLevel="0" collapsed="false">
      <c r="A540" s="10" t="s">
        <v>553</v>
      </c>
      <c r="C540" s="47" t="n">
        <f aca="false">Inputs!$B$60*(C531+C542)/2</f>
        <v>3.06496856363502</v>
      </c>
      <c r="D540" s="47" t="n">
        <f aca="false">Inputs!$B$60*(D531+D542)/2</f>
        <v>1.57994481735093</v>
      </c>
      <c r="E540" s="47" t="n">
        <f aca="false">Inputs!$B$60*(E531+E542)/2</f>
        <v>0.998717373322613</v>
      </c>
      <c r="F540" s="47" t="n">
        <f aca="false">Inputs!$B$60*(F531+F542)/2</f>
        <v>1.77498444360768</v>
      </c>
    </row>
    <row r="541" customFormat="false" ht="15" hidden="false" customHeight="false" outlineLevel="0" collapsed="false">
      <c r="A541" s="10" t="s">
        <v>554</v>
      </c>
      <c r="C541" s="47" t="n">
        <f aca="false">Inputs!$B$61*(C532-C533/2+C537/2)</f>
        <v>2.90202</v>
      </c>
      <c r="D541" s="47" t="n">
        <f aca="false">Inputs!$B$61*(D532-D533/2+D537/2)</f>
        <v>2.90202</v>
      </c>
      <c r="E541" s="47" t="n">
        <f aca="false">Inputs!$B$61*(E532-E533/2+E537/2)</f>
        <v>2.90202</v>
      </c>
      <c r="F541" s="47" t="n">
        <f aca="false">Inputs!$B$61*(F532-F533/2+F537/2)</f>
        <v>2.90202</v>
      </c>
    </row>
    <row r="542" customFormat="false" ht="15" hidden="false" customHeight="false" outlineLevel="0" collapsed="false">
      <c r="A542" s="13" t="s">
        <v>555</v>
      </c>
      <c r="B542" s="47" t="n">
        <f aca="false">B62+B166</f>
        <v>99.2039246231156</v>
      </c>
      <c r="C542" s="18" t="n">
        <f aca="false">IF(C535&gt;0,Inputs!$B$68,C534)</f>
        <v>54.0445035586356</v>
      </c>
      <c r="D542" s="18" t="n">
        <f aca="false">IF(D535&gt;0,Inputs!$B$68,D534)</f>
        <v>24.9527373089107</v>
      </c>
      <c r="E542" s="18" t="n">
        <f aca="false">IF(E535&gt;0,Inputs!$B$68,E534)</f>
        <v>24.9831313572199</v>
      </c>
      <c r="F542" s="18" t="n">
        <f aca="false">IF(F535&gt;0,Inputs!$B$68,F534)</f>
        <v>63.7660908231639</v>
      </c>
    </row>
    <row r="543" customFormat="false" ht="15" hidden="false" customHeight="false" outlineLevel="0" collapsed="false">
      <c r="A543" s="10" t="s">
        <v>556</v>
      </c>
      <c r="B543" s="47" t="n">
        <f aca="false">B63+B167</f>
        <v>48.367</v>
      </c>
      <c r="C543" s="47" t="n">
        <f aca="false">C532-C533+C537</f>
        <v>48.367</v>
      </c>
      <c r="D543" s="47" t="n">
        <f aca="false">D532-D533+D537</f>
        <v>48.367</v>
      </c>
      <c r="E543" s="47" t="n">
        <f aca="false">E532-E533+E537</f>
        <v>48.367</v>
      </c>
      <c r="F543" s="47" t="n">
        <f aca="false">F532-F533+F537</f>
        <v>48.367</v>
      </c>
    </row>
    <row r="544" customFormat="false" ht="15" hidden="false" customHeight="false" outlineLevel="0" collapsed="false">
      <c r="A544" s="13" t="s">
        <v>557</v>
      </c>
      <c r="B544" s="18" t="n">
        <f aca="false">B542-B543</f>
        <v>50.8369246231156</v>
      </c>
      <c r="C544" s="18" t="n">
        <f aca="false">C542-C543</f>
        <v>5.67750355863556</v>
      </c>
      <c r="D544" s="18" t="n">
        <f aca="false">D542-D543</f>
        <v>-23.4142626910893</v>
      </c>
      <c r="E544" s="18" t="n">
        <f aca="false">E542-E543</f>
        <v>-23.3838686427801</v>
      </c>
      <c r="F544" s="18" t="n">
        <f aca="false">F542-F543</f>
        <v>15.3990908231639</v>
      </c>
    </row>
    <row r="545" customFormat="false" ht="15" hidden="false" customHeight="false" outlineLevel="0" collapsed="false">
      <c r="A545" s="10" t="s">
        <v>558</v>
      </c>
      <c r="C545" s="33" t="n">
        <f aca="false">ROUND(C531+C530-C533+C540-C541+C535-C542,6)</f>
        <v>0</v>
      </c>
      <c r="D545" s="33" t="n">
        <f aca="false">ROUND(D531+D530-D533+D540-D541+D535-D542,6)</f>
        <v>0</v>
      </c>
      <c r="E545" s="33" t="n">
        <f aca="false">ROUND(E531+E530-E533+E540-E541+E535-E542,6)</f>
        <v>0</v>
      </c>
      <c r="F545" s="33" t="n">
        <f aca="false">ROUND(F531+F530-F533+F540-F541+F535-F542,6)</f>
        <v>0</v>
      </c>
    </row>
    <row r="546" customFormat="false" ht="15" hidden="false" customHeight="false" outlineLevel="0" collapsed="false">
      <c r="A546" s="10" t="s">
        <v>559</v>
      </c>
      <c r="B546" s="47" t="n">
        <f aca="false">B66+B170</f>
        <v>0</v>
      </c>
      <c r="C546" s="47" t="n">
        <f aca="false">B546+C536</f>
        <v>0</v>
      </c>
      <c r="D546" s="47" t="n">
        <f aca="false">C546+D536</f>
        <v>0</v>
      </c>
      <c r="E546" s="47" t="n">
        <f aca="false">D546+E536</f>
        <v>0</v>
      </c>
      <c r="F546" s="47" t="n">
        <f aca="false">E546+F536</f>
        <v>0</v>
      </c>
    </row>
    <row r="547" customFormat="false" ht="15" hidden="false" customHeight="false" outlineLevel="0" collapsed="false">
      <c r="A547" s="10" t="s">
        <v>560</v>
      </c>
      <c r="C547" s="49" t="str">
        <f aca="false">IF(C546&gt;Inputs!$B$74,"UNFUNDED: above limit",IF(C536&gt;0,"Raising","OK"))</f>
        <v>OK</v>
      </c>
      <c r="D547" s="49" t="str">
        <f aca="false">IF(D546&gt;Inputs!$B$74,"UNFUNDED: above limit",IF(D536&gt;0,"Raising","OK"))</f>
        <v>OK</v>
      </c>
      <c r="E547" s="49" t="str">
        <f aca="false">IF(E546&gt;Inputs!$B$74,"UNFUNDED: above limit",IF(E536&gt;0,"Raising","OK"))</f>
        <v>OK</v>
      </c>
      <c r="F547" s="49" t="str">
        <f aca="false">IF(F546&gt;Inputs!$B$74,"UNFUNDED: above limit",IF(F536&gt;0,"Raising","OK"))</f>
        <v>OK</v>
      </c>
    </row>
    <row r="549" customFormat="false" ht="15" hidden="false" customHeight="false" outlineLevel="0" collapsed="false">
      <c r="A549" s="8" t="s">
        <v>657</v>
      </c>
      <c r="B549" s="9"/>
      <c r="C549" s="9"/>
      <c r="D549" s="9" t="s">
        <v>379</v>
      </c>
      <c r="E549" s="9" t="s">
        <v>426</v>
      </c>
      <c r="F549" s="9" t="s">
        <v>658</v>
      </c>
    </row>
    <row r="550" customFormat="false" ht="15" hidden="false" customHeight="false" outlineLevel="0" collapsed="false">
      <c r="A550" s="10" t="s">
        <v>659</v>
      </c>
      <c r="D550" s="16" t="n">
        <f aca="false">$B$68</f>
        <v>8.70500316724159</v>
      </c>
      <c r="E550" s="16" t="n">
        <f aca="false">$B$172</f>
        <v>6.3333566830232</v>
      </c>
      <c r="F550" s="47" t="n">
        <f aca="false">$F$504</f>
        <v>16.920148987645</v>
      </c>
    </row>
    <row r="551" customFormat="false" ht="15" hidden="false" customHeight="false" outlineLevel="0" collapsed="false">
      <c r="A551" s="10" t="s">
        <v>660</v>
      </c>
      <c r="D551" s="16" t="n">
        <f aca="false">$B$70</f>
        <v>6.60187440203602</v>
      </c>
      <c r="E551" s="16" t="n">
        <f aca="false">$B$174</f>
        <v>4.8032177084048</v>
      </c>
      <c r="F551" s="47" t="n">
        <f aca="false">D551+E551+($F$447+$F$493)*(1-Inputs!$B$79)</f>
        <v>12.83224099223</v>
      </c>
    </row>
    <row r="552" customFormat="false" ht="15" hidden="false" customHeight="false" outlineLevel="0" collapsed="false">
      <c r="A552" s="10" t="s">
        <v>661</v>
      </c>
      <c r="D552" s="50" t="n">
        <f aca="false">$B$71</f>
        <v>20</v>
      </c>
      <c r="E552" s="50" t="n">
        <f aca="false">$B$175</f>
        <v>20</v>
      </c>
      <c r="F552" s="48" t="n">
        <f aca="false">IFERROR(F553/(F551*$F$527),0)</f>
        <v>20.5560793639448</v>
      </c>
    </row>
    <row r="553" customFormat="false" ht="15" hidden="false" customHeight="false" outlineLevel="0" collapsed="false">
      <c r="A553" s="10" t="s">
        <v>662</v>
      </c>
      <c r="D553" s="16" t="n">
        <f aca="false">$B$72</f>
        <v>86.9771831207225</v>
      </c>
      <c r="E553" s="16" t="n">
        <f aca="false">$B$176</f>
        <v>63.2805656017602</v>
      </c>
      <c r="F553" s="47" t="n">
        <f aca="false">D553+E553+($F$447+$F$493)*(1-Inputs!$B$79)*Inputs!$B$30*$F$527</f>
        <v>173.760428051255</v>
      </c>
    </row>
    <row r="554" customFormat="false" ht="15" hidden="false" customHeight="false" outlineLevel="0" collapsed="false">
      <c r="A554" s="10" t="s">
        <v>663</v>
      </c>
      <c r="D554" s="16" t="n">
        <f aca="false">$B$73</f>
        <v>-76.9053551985049</v>
      </c>
      <c r="E554" s="16" t="n">
        <f aca="false">$B$177</f>
        <v>0.781169830773897</v>
      </c>
      <c r="F554" s="47" t="n">
        <f aca="false">SUMPRODUCT($C$508:$F$508,$C$527:$F$527)</f>
        <v>-74.6635880401313</v>
      </c>
    </row>
    <row r="555" customFormat="false" ht="15" hidden="false" customHeight="false" outlineLevel="0" collapsed="false">
      <c r="A555" s="13" t="s">
        <v>567</v>
      </c>
      <c r="D555" s="16" t="n">
        <f aca="false">$B$74</f>
        <v>10.0718279222176</v>
      </c>
      <c r="E555" s="16" t="n">
        <f aca="false">$B$178</f>
        <v>64.0617354325341</v>
      </c>
      <c r="F555" s="18" t="n">
        <f aca="false">F553+F554</f>
        <v>99.096840011124</v>
      </c>
    </row>
    <row r="556" customFormat="false" ht="15" hidden="false" customHeight="false" outlineLevel="0" collapsed="false">
      <c r="A556" s="10" t="s">
        <v>664</v>
      </c>
      <c r="D556" s="16" t="n">
        <f aca="false">$B$75</f>
        <v>15.5815457617944</v>
      </c>
      <c r="E556" s="16" t="n">
        <f aca="false">$B$179</f>
        <v>4.4748342211128</v>
      </c>
      <c r="F556" s="47" t="n">
        <f aca="false">D556+E556+$B$451+$B$497</f>
        <v>21.6017397273162</v>
      </c>
    </row>
    <row r="557" customFormat="false" ht="15" hidden="false" customHeight="false" outlineLevel="0" collapsed="false">
      <c r="A557" s="10" t="s">
        <v>665</v>
      </c>
      <c r="D557" s="50" t="n">
        <f aca="false">$B$76</f>
        <v>16</v>
      </c>
      <c r="E557" s="50" t="n">
        <f aca="false">$B$180</f>
        <v>16</v>
      </c>
      <c r="F557" s="48" t="n">
        <f aca="false">IFERROR(F558/(F556*$F$527),0)</f>
        <v>16.2861546827092</v>
      </c>
    </row>
    <row r="558" customFormat="false" ht="15" hidden="false" customHeight="false" outlineLevel="0" collapsed="false">
      <c r="A558" s="10" t="s">
        <v>666</v>
      </c>
      <c r="D558" s="16" t="n">
        <f aca="false">$B$77</f>
        <v>164.224749093628</v>
      </c>
      <c r="E558" s="16" t="n">
        <f aca="false">$B$181</f>
        <v>47.1633904897763</v>
      </c>
      <c r="F558" s="47" t="n">
        <f aca="false">D558+E558+($B$451+$B$497)*Inputs!$B$31*$F$527</f>
        <v>231.747666180184</v>
      </c>
    </row>
    <row r="559" customFormat="false" ht="15" hidden="false" customHeight="false" outlineLevel="0" collapsed="false">
      <c r="A559" s="13" t="s">
        <v>571</v>
      </c>
      <c r="D559" s="16" t="n">
        <f aca="false">$B$78</f>
        <v>87.319393895123</v>
      </c>
      <c r="E559" s="16" t="n">
        <f aca="false">$B$182</f>
        <v>47.9445603205502</v>
      </c>
      <c r="F559" s="18" t="n">
        <f aca="false">F554+F558</f>
        <v>157.084078140052</v>
      </c>
    </row>
    <row r="560" customFormat="false" ht="15" hidden="false" customHeight="false" outlineLevel="0" collapsed="false">
      <c r="A560" s="10" t="s">
        <v>572</v>
      </c>
      <c r="D560" s="47" t="n">
        <f aca="false">$B$79</f>
        <v>48.6956109086703</v>
      </c>
      <c r="E560" s="47" t="n">
        <f aca="false">$B$183</f>
        <v>56.0031478765421</v>
      </c>
      <c r="F560" s="47" t="n">
        <f aca="false">F555*Inputs!$B$7+F559*(1-Inputs!$B$7)</f>
        <v>128.090459075588</v>
      </c>
    </row>
    <row r="561" customFormat="false" ht="15" hidden="false" customHeight="false" outlineLevel="0" collapsed="false">
      <c r="A561" s="10" t="s">
        <v>667</v>
      </c>
      <c r="D561" s="26" t="n">
        <v>0</v>
      </c>
      <c r="E561" s="26" t="n">
        <v>0</v>
      </c>
      <c r="F561" s="47" t="n">
        <f aca="false">Inputs!$B$9*(D560+E560)</f>
        <v>0</v>
      </c>
    </row>
    <row r="562" customFormat="false" ht="15" hidden="false" customHeight="false" outlineLevel="0" collapsed="false">
      <c r="A562" s="13" t="s">
        <v>668</v>
      </c>
      <c r="D562" s="18" t="n">
        <f aca="false">$B$79</f>
        <v>48.6956109086703</v>
      </c>
      <c r="E562" s="18" t="n">
        <f aca="false">$B$183</f>
        <v>56.0031478765421</v>
      </c>
      <c r="F562" s="18" t="n">
        <f aca="false">F560+F561</f>
        <v>128.090459075588</v>
      </c>
    </row>
    <row r="563" customFormat="false" ht="15" hidden="false" customHeight="false" outlineLevel="0" collapsed="false">
      <c r="A563" s="10" t="s">
        <v>669</v>
      </c>
      <c r="D563" s="49" t="str">
        <f aca="false">IFERROR(TEXT(D553/D555,"0%")&amp;" / "&amp;TEXT(D558/D559,"0%"),"n/a")</f>
        <v>864% / 188%</v>
      </c>
      <c r="E563" s="49" t="str">
        <f aca="false">IFERROR(TEXT(E553/E555,"0%")&amp;" / "&amp;TEXT(E558/E559,"0%"),"n/a")</f>
        <v>99% / 98%</v>
      </c>
      <c r="F563" s="49" t="str">
        <f aca="false">IFERROR(TEXT(F553/F555,"0%")&amp;" / "&amp;TEXT(F558/F559,"0%"),"n/a")</f>
        <v>175% / 148%</v>
      </c>
    </row>
    <row r="564" customFormat="false" ht="15" hidden="false" customHeight="false" outlineLevel="0" collapsed="false">
      <c r="A564" s="10" t="s">
        <v>670</v>
      </c>
      <c r="D564" s="16" t="n">
        <f aca="false">$B$97</f>
        <v>11.9761715604805</v>
      </c>
      <c r="E564" s="16" t="n">
        <f aca="false">$B$201</f>
        <v>0</v>
      </c>
      <c r="F564" s="47" t="n">
        <f aca="false">D564+E564</f>
        <v>11.9761715604805</v>
      </c>
    </row>
    <row r="565" customFormat="false" ht="15" hidden="false" customHeight="false" outlineLevel="0" collapsed="false">
      <c r="A565" s="10" t="s">
        <v>671</v>
      </c>
      <c r="D565" s="16" t="n">
        <f aca="false">$B$98</f>
        <v>18.4621457286432</v>
      </c>
      <c r="E565" s="16" t="n">
        <f aca="false">$B$202</f>
        <v>32.3747788944724</v>
      </c>
      <c r="F565" s="47" t="n">
        <f aca="false">$B$523</f>
        <v>50.8369246231156</v>
      </c>
    </row>
    <row r="566" customFormat="false" ht="15" hidden="false" customHeight="false" outlineLevel="0" collapsed="false">
      <c r="A566" s="10" t="s">
        <v>672</v>
      </c>
      <c r="D566" s="16" t="n">
        <f aca="false">$B$99</f>
        <v>0</v>
      </c>
      <c r="E566" s="16" t="n">
        <f aca="false">$B$203</f>
        <v>0.107732913640393</v>
      </c>
      <c r="F566" s="26" t="n">
        <v>0</v>
      </c>
    </row>
    <row r="567" customFormat="false" ht="15" hidden="false" customHeight="false" outlineLevel="0" collapsed="false">
      <c r="A567" s="10" t="s">
        <v>673</v>
      </c>
      <c r="D567" s="16" t="n">
        <f aca="false">$B$100</f>
        <v>0.314163420319739</v>
      </c>
      <c r="E567" s="16" t="n">
        <f aca="false">$B$204</f>
        <v>0</v>
      </c>
      <c r="F567" s="47" t="n">
        <f aca="false">SUMPRODUCT($C$518:$F$518,$C$527:$F$527)</f>
        <v>0</v>
      </c>
    </row>
    <row r="568" customFormat="false" ht="15" hidden="false" customHeight="false" outlineLevel="0" collapsed="false">
      <c r="A568" s="13" t="s">
        <v>674</v>
      </c>
      <c r="D568" s="16" t="n">
        <f aca="false">$B$101</f>
        <v>78.8197647774743</v>
      </c>
      <c r="E568" s="16" t="n">
        <f aca="false">$B$205</f>
        <v>88.4856596846549</v>
      </c>
      <c r="F568" s="18" t="n">
        <f aca="false">F562+F564+F565-F567</f>
        <v>190.903555259184</v>
      </c>
    </row>
    <row r="569" customFormat="false" ht="15" hidden="false" customHeight="false" outlineLevel="0" collapsed="false">
      <c r="A569" s="10" t="s">
        <v>675</v>
      </c>
      <c r="D569" s="20" t="n">
        <f aca="false">$B$102</f>
        <v>14.1934659057591</v>
      </c>
      <c r="E569" s="20" t="n">
        <f aca="false">$B$206</f>
        <v>3.967329173</v>
      </c>
      <c r="F569" s="25" t="n">
        <f aca="false">Deal!$B$19+$B$104+$B$208*Deal!$B$10</f>
        <v>26.2650455921569</v>
      </c>
    </row>
    <row r="570" customFormat="false" ht="15" hidden="false" customHeight="false" outlineLevel="0" collapsed="false">
      <c r="A570" s="10" t="s">
        <v>676</v>
      </c>
      <c r="D570" s="20" t="n">
        <f aca="false">$B$107</f>
        <v>0</v>
      </c>
      <c r="E570" s="20" t="n">
        <f aca="false">$B$211</f>
        <v>0</v>
      </c>
      <c r="F570" s="25" t="n">
        <f aca="false">IFERROR(F571/(F568/F569*(1-Inputs!$B$71)),0)</f>
        <v>0</v>
      </c>
    </row>
    <row r="571" customFormat="false" ht="15" hidden="false" customHeight="false" outlineLevel="0" collapsed="false">
      <c r="A571" s="10" t="s">
        <v>677</v>
      </c>
      <c r="D571" s="16" t="n">
        <f aca="false">$B$106</f>
        <v>0</v>
      </c>
      <c r="E571" s="16" t="n">
        <f aca="false">$B$210</f>
        <v>0</v>
      </c>
      <c r="F571" s="47" t="n">
        <f aca="false">SUMPRODUCT($C$517:$F$517,$C$527:$F$527)</f>
        <v>0</v>
      </c>
    </row>
    <row r="572" customFormat="false" ht="15" hidden="false" customHeight="false" outlineLevel="0" collapsed="false">
      <c r="A572" s="10" t="s">
        <v>600</v>
      </c>
      <c r="D572" s="17" t="str">
        <f aca="false">$B$109</f>
        <v>OK</v>
      </c>
      <c r="E572" s="17" t="str">
        <f aca="false">$B$213</f>
        <v>OK</v>
      </c>
      <c r="F572" s="49" t="str">
        <f aca="false">IF($F$525&gt;Inputs!$B$74,"Not meaningful: funding need above limit",IF(OR(F551&lt;=0,F556&lt;=0),"Not meaningful: 2030 profit or cash flow negative",IF(OR(F555&lt;=0,F559&lt;=0),"Not meaningful: a method gives zero or negative value",IF(F568&lt;=0,"Not meaningful: value at or below zero","OK"))))</f>
        <v>OK</v>
      </c>
    </row>
    <row r="573" customFormat="false" ht="15" hidden="false" customHeight="false" outlineLevel="0" collapsed="false">
      <c r="A573" s="13" t="s">
        <v>678</v>
      </c>
      <c r="D573" s="14" t="n">
        <f aca="false">$B$110</f>
        <v>5.55324297115425</v>
      </c>
      <c r="E573" s="14" t="n">
        <f aca="false">$B$214</f>
        <v>22.3035840552006</v>
      </c>
      <c r="F573" s="15" t="n">
        <f aca="false">IF(F572="OK",(F568+F571)/(F569+F570),"unresolved")</f>
        <v>7.26835042373545</v>
      </c>
    </row>
    <row r="574" customFormat="false" ht="15" hidden="false" customHeight="false" outlineLevel="0" collapsed="false">
      <c r="A574" s="10" t="s">
        <v>602</v>
      </c>
      <c r="D574" s="47" t="n">
        <f aca="false">$B$111</f>
        <v>78.8197647774743</v>
      </c>
      <c r="E574" s="47" t="n">
        <f aca="false">$B$215</f>
        <v>88.4856596846549</v>
      </c>
      <c r="F574" s="47" t="n">
        <f aca="false">IF(ISNUMBER(F573),F573*F569,"unresolved")</f>
        <v>190.903555259184</v>
      </c>
    </row>
    <row r="575" customFormat="false" ht="15" hidden="false" customHeight="false" outlineLevel="0" collapsed="false">
      <c r="A575" s="10" t="s">
        <v>679</v>
      </c>
      <c r="D575" s="16" t="n">
        <f aca="false">$B$112</f>
        <v>0</v>
      </c>
      <c r="E575" s="16" t="n">
        <f aca="false">$B$216</f>
        <v>0</v>
      </c>
      <c r="F575" s="47" t="n">
        <f aca="false">IFERROR(F568-F574,"n/a")</f>
        <v>0</v>
      </c>
    </row>
    <row r="576" customFormat="false" ht="15" hidden="false" customHeight="false" outlineLevel="0" collapsed="false">
      <c r="A576" s="10" t="s">
        <v>680</v>
      </c>
      <c r="D576" s="32" t="n">
        <f aca="false">IF(ISNUMBER(D573),(D555+D561+(D564+D565+D566-D567+D571))/(D569+D570),"unresolved")</f>
        <v>2.83200608349732</v>
      </c>
      <c r="E576" s="32" t="n">
        <f aca="false">IF(ISNUMBER(E573),(E555+E561+(E564+E565+E566-E567+E571))/(E569+E570),"unresolved")</f>
        <v>24.3348214959543</v>
      </c>
      <c r="F576" s="32" t="n">
        <f aca="false">IF(ISNUMBER(F573),(F555+F561+(F564+F565+F566-F567+F571))/(F569+F570),"unresolved")</f>
        <v>6.16446431157419</v>
      </c>
    </row>
    <row r="577" customFormat="false" ht="15" hidden="false" customHeight="false" outlineLevel="0" collapsed="false">
      <c r="A577" s="10" t="s">
        <v>681</v>
      </c>
      <c r="D577" s="32" t="n">
        <f aca="false">IF(ISNUMBER(D573),(D559+D561+(D564+D565+D566-D567+D571))/(D569+D570),"unresolved")</f>
        <v>8.27447985881119</v>
      </c>
      <c r="E577" s="32" t="n">
        <f aca="false">IF(ISNUMBER(E573),(E559+E561+(E564+E565+E566-E567+E571))/(E569+E570),"unresolved")</f>
        <v>20.2723466144469</v>
      </c>
      <c r="F577" s="32" t="n">
        <f aca="false">IF(ISNUMBER(F573),(F559+F561+(F564+F565+F566-F567+F571))/(F569+F570),"unresolved")</f>
        <v>8.3722365358967</v>
      </c>
    </row>
    <row r="578" customFormat="false" ht="15" hidden="false" customHeight="false" outlineLevel="0" collapsed="false">
      <c r="A578" s="10" t="s">
        <v>682</v>
      </c>
      <c r="D578" s="14" t="n">
        <f aca="false">Inputs!$B$12</f>
        <v>147.49</v>
      </c>
      <c r="E578" s="14" t="n">
        <f aca="false">Inputs!$B$13</f>
        <v>374.58</v>
      </c>
    </row>
    <row r="579" customFormat="false" ht="15" hidden="false" customHeight="false" outlineLevel="0" collapsed="false">
      <c r="A579" s="10" t="s">
        <v>683</v>
      </c>
      <c r="D579" s="19" t="n">
        <f aca="false">IFERROR(D573/D578-1,"n/a")</f>
        <v>-0.96234834245607</v>
      </c>
      <c r="E579" s="19" t="n">
        <f aca="false">IFERROR(E573/E578-1,"n/a")</f>
        <v>-0.940457087791125</v>
      </c>
    </row>
    <row r="580" customFormat="false" ht="15" hidden="false" customHeight="false" outlineLevel="0" collapsed="false">
      <c r="A580" s="10" t="s">
        <v>684</v>
      </c>
      <c r="E580" s="32" t="n">
        <f aca="false">$B$223/$B$206</f>
        <v>0.386869715297957</v>
      </c>
    </row>
    <row r="581" customFormat="false" ht="15" hidden="false" customHeight="false" outlineLevel="0" collapsed="false">
      <c r="A581" s="10" t="s">
        <v>685</v>
      </c>
      <c r="E581" s="32" t="n">
        <f aca="false">IFERROR(E573-E580,"unresolved")</f>
        <v>21.9167143399026</v>
      </c>
    </row>
    <row r="582" customFormat="false" ht="15" hidden="false" customHeight="false" outlineLevel="0" collapsed="false">
      <c r="A582" s="10" t="s">
        <v>686</v>
      </c>
      <c r="E582" s="14" t="n">
        <f aca="false">$B$325</f>
        <v>21.8044064067808</v>
      </c>
    </row>
    <row r="583" customFormat="false" ht="15" hidden="false" customHeight="false" outlineLevel="0" collapsed="false">
      <c r="A583" s="10" t="s">
        <v>687</v>
      </c>
      <c r="E583" s="20" t="n">
        <f aca="false">Inputs!$E$151</f>
        <v>1</v>
      </c>
    </row>
    <row r="584" customFormat="false" ht="15" hidden="false" customHeight="false" outlineLevel="0" collapsed="false">
      <c r="A584" s="10" t="s">
        <v>688</v>
      </c>
      <c r="E584" s="47" t="str">
        <f aca="false">IF(AND(ISNUMBER(E586),ABS(N(E586))&lt;0.5),$F$333,"no solution")</f>
        <v>no solution</v>
      </c>
    </row>
    <row r="585" customFormat="false" ht="15" hidden="false" customHeight="false" outlineLevel="0" collapsed="false">
      <c r="A585" s="10" t="s">
        <v>689</v>
      </c>
      <c r="E585" s="14" t="n">
        <f aca="false">$B$429</f>
        <v>22.3035840552006</v>
      </c>
    </row>
    <row r="586" customFormat="false" ht="15" hidden="false" customHeight="false" outlineLevel="0" collapsed="false">
      <c r="A586" s="10" t="s">
        <v>690</v>
      </c>
      <c r="E586" s="32" t="n">
        <f aca="false">IFERROR(E585-E578,"n/a")</f>
        <v>-352.276415944799</v>
      </c>
    </row>
    <row r="587" customFormat="false" ht="15" hidden="false" customHeight="false" outlineLevel="0" collapsed="false">
      <c r="A587" s="10" t="s">
        <v>691</v>
      </c>
      <c r="F587" s="32" t="n">
        <f aca="false">IFERROR(F573*Deal!$B$10,"unresolved")</f>
        <v>22.151294610261</v>
      </c>
    </row>
    <row r="588" customFormat="false" ht="15" hidden="false" customHeight="false" outlineLevel="0" collapsed="false">
      <c r="A588" s="13" t="s">
        <v>692</v>
      </c>
      <c r="F588" s="12" t="n">
        <f aca="false">IFERROR(F573/D573-1,"unresolved")</f>
        <v>0.308847904096784</v>
      </c>
    </row>
    <row r="589" customFormat="false" ht="15" hidden="false" customHeight="false" outlineLevel="0" collapsed="false">
      <c r="A589" s="13" t="s">
        <v>693</v>
      </c>
      <c r="F589" s="12" t="n">
        <f aca="false">IFERROR(F587/E573-1,"unresolved")</f>
        <v>-0.00682802569141838</v>
      </c>
    </row>
    <row r="590" customFormat="false" ht="15" hidden="false" customHeight="false" outlineLevel="0" collapsed="false">
      <c r="A590" s="10" t="s">
        <v>694</v>
      </c>
      <c r="F590" s="47" t="n">
        <f aca="false">$B$454</f>
        <v>23.9028067310791</v>
      </c>
    </row>
    <row r="591" customFormat="false" ht="15" hidden="false" customHeight="false" outlineLevel="0" collapsed="false">
      <c r="A591" s="10" t="s">
        <v>695</v>
      </c>
      <c r="F591" s="47" t="n">
        <f aca="false">$B$500</f>
        <v>-0.511106440703309</v>
      </c>
    </row>
    <row r="592" customFormat="false" ht="15" hidden="false" customHeight="false" outlineLevel="0" collapsed="false">
      <c r="A592" s="10" t="s">
        <v>696</v>
      </c>
      <c r="F592" s="47" t="n">
        <f aca="false">$B$477</f>
        <v>0.891303346418186</v>
      </c>
    </row>
    <row r="593" customFormat="false" ht="15" hidden="false" customHeight="false" outlineLevel="0" collapsed="false">
      <c r="A593" s="10" t="s">
        <v>697</v>
      </c>
      <c r="F593" s="47" t="n">
        <f aca="false">$F$546</f>
        <v>0</v>
      </c>
    </row>
    <row r="594" customFormat="false" ht="15" hidden="false" customHeight="false" outlineLevel="0" collapsed="false">
      <c r="A594" s="10" t="s">
        <v>698</v>
      </c>
      <c r="F594" s="47" t="n">
        <f aca="false">F551-($F$447-$F$470)*(1-Inputs!$B$79)</f>
        <v>11.3696124208014</v>
      </c>
    </row>
    <row r="595" customFormat="false" ht="15" hidden="false" customHeight="false" outlineLevel="0" collapsed="false">
      <c r="A595" s="10" t="s">
        <v>699</v>
      </c>
      <c r="F595" s="47" t="n">
        <f aca="false">F556-$B$451+$B$474</f>
        <v>20.567682584459</v>
      </c>
    </row>
    <row r="596" customFormat="false" ht="15" hidden="false" customHeight="false" outlineLevel="0" collapsed="false">
      <c r="A596" s="10" t="s">
        <v>700</v>
      </c>
      <c r="F596" s="47" t="n">
        <f aca="false">F555-$B$452+$B$475</f>
        <v>70.8535070209538</v>
      </c>
    </row>
    <row r="597" customFormat="false" ht="15" hidden="false" customHeight="false" outlineLevel="0" collapsed="false">
      <c r="A597" s="10" t="s">
        <v>701</v>
      </c>
      <c r="F597" s="47" t="n">
        <f aca="false">F559-$B$453+$B$476</f>
        <v>139.304404360901</v>
      </c>
    </row>
    <row r="598" customFormat="false" ht="15" hidden="false" customHeight="false" outlineLevel="0" collapsed="false">
      <c r="A598" s="10" t="s">
        <v>702</v>
      </c>
      <c r="F598" s="47" t="n">
        <f aca="false">F562-F590+F592+F564+$B$544-SUMPRODUCT($C$539:$F$539,$C$527:$F$527)</f>
        <v>167.892051874523</v>
      </c>
    </row>
    <row r="599" customFormat="false" ht="15" hidden="false" customHeight="false" outlineLevel="0" collapsed="false">
      <c r="A599" s="10" t="s">
        <v>703</v>
      </c>
      <c r="F599" s="49" t="str">
        <f aca="false">IF(F593&gt;Inputs!$B$74,"Not meaningful: funding need above limit",IF(OR(F594&lt;=0,F595&lt;=0),"Not meaningful: 2030 profit or cash flow negative",IF(OR(F596&lt;=0,F597&lt;=0),"Not meaningful: a method gives zero or negative value",IF(F598&lt;=0,"Not meaningful: value at or below zero","OK"))))</f>
        <v>OK</v>
      </c>
    </row>
    <row r="600" customFormat="false" ht="15" hidden="false" customHeight="false" outlineLevel="0" collapsed="false">
      <c r="A600" s="10" t="s">
        <v>704</v>
      </c>
      <c r="F600" s="32" t="n">
        <f aca="false">IF(F599="OK",(F598+SUMPRODUCT($C$538:$F$538,$C$527:$F$527))/(F569+IFERROR(SUMPRODUCT($C$538:$F$538,$C$527:$F$527)/(F598/F569*(1-Inputs!$B$71)),0)),"unresolved")</f>
        <v>6.39222388879684</v>
      </c>
    </row>
    <row r="601" customFormat="false" ht="15" hidden="false" customHeight="false" outlineLevel="0" collapsed="false">
      <c r="A601" s="10" t="s">
        <v>705</v>
      </c>
      <c r="F601" s="47" t="n">
        <f aca="false">IFERROR(D574*F569/D569-(D574+E574-E566),"unresolved")</f>
        <v>-21.3415117267976</v>
      </c>
    </row>
    <row r="603" customFormat="false" ht="15" hidden="false" customHeight="false" outlineLevel="0" collapsed="false">
      <c r="A603" s="6" t="s">
        <v>706</v>
      </c>
    </row>
    <row r="604" customFormat="false" ht="15" hidden="false" customHeight="false" outlineLevel="0" collapsed="false">
      <c r="A604" s="6" t="s">
        <v>707</v>
      </c>
    </row>
    <row r="605" customFormat="false" ht="15" hidden="false" customHeight="false" outlineLevel="0" collapsed="false">
      <c r="A605" s="6" t="s">
        <v>708</v>
      </c>
    </row>
    <row r="606" customFormat="false" ht="15" hidden="false" customHeight="false" outlineLevel="0" collapsed="false">
      <c r="A606" s="6" t="s">
        <v>709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3" min="2" style="0" width="14"/>
    <col collapsed="false" customWidth="true" hidden="false" outlineLevel="0" max="4" min="4" style="0" width="18"/>
    <col collapsed="false" customWidth="true" hidden="false" outlineLevel="0" max="6" min="5" style="0" width="14"/>
  </cols>
  <sheetData>
    <row r="1" customFormat="false" ht="17.35" hidden="false" customHeight="false" outlineLevel="0" collapsed="false">
      <c r="A1" s="5" t="s">
        <v>713</v>
      </c>
    </row>
    <row r="2" customFormat="false" ht="15" hidden="false" customHeight="false" outlineLevel="0" collapsed="false">
      <c r="A2" s="6" t="s">
        <v>714</v>
      </c>
    </row>
    <row r="4" customFormat="false" ht="15" hidden="false" customHeight="false" outlineLevel="0" collapsed="false">
      <c r="A4" s="8" t="s">
        <v>715</v>
      </c>
      <c r="B4" s="9" t="s">
        <v>78</v>
      </c>
      <c r="C4" s="9" t="s">
        <v>104</v>
      </c>
    </row>
    <row r="5" customFormat="false" ht="15" hidden="false" customHeight="false" outlineLevel="0" collapsed="false">
      <c r="A5" s="10" t="s">
        <v>716</v>
      </c>
      <c r="B5" s="32" t="n">
        <f aca="false">Inputs!$B$12</f>
        <v>147.49</v>
      </c>
      <c r="C5" s="6"/>
    </row>
    <row r="6" customFormat="false" ht="15" hidden="false" customHeight="false" outlineLevel="0" collapsed="false">
      <c r="A6" s="10" t="s">
        <v>717</v>
      </c>
      <c r="B6" s="32" t="n">
        <f aca="false">Inputs!$B$13</f>
        <v>374.58</v>
      </c>
      <c r="C6" s="6"/>
    </row>
    <row r="7" customFormat="false" ht="15" hidden="false" customHeight="false" outlineLevel="0" collapsed="false">
      <c r="A7" s="10" t="s">
        <v>718</v>
      </c>
      <c r="B7" s="52" t="n">
        <f aca="false">B6/B5</f>
        <v>2.5396976066174</v>
      </c>
      <c r="C7" s="6"/>
    </row>
    <row r="8" customFormat="false" ht="15" hidden="false" customHeight="false" outlineLevel="0" collapsed="false">
      <c r="A8" s="10" t="s">
        <v>79</v>
      </c>
      <c r="B8" s="19" t="n">
        <f aca="false">Inputs!$B$11</f>
        <v>0.2</v>
      </c>
      <c r="C8" s="6"/>
    </row>
    <row r="9" customFormat="false" ht="15" hidden="false" customHeight="false" outlineLevel="0" collapsed="false">
      <c r="A9" s="10" t="s">
        <v>81</v>
      </c>
      <c r="B9" s="32" t="n">
        <f aca="false">B6*(1+B8)</f>
        <v>449.496</v>
      </c>
      <c r="C9" s="6"/>
    </row>
    <row r="10" customFormat="false" ht="15" hidden="false" customHeight="false" outlineLevel="0" collapsed="false">
      <c r="A10" s="10" t="s">
        <v>719</v>
      </c>
      <c r="B10" s="52" t="n">
        <f aca="false">B9/B5</f>
        <v>3.04763712794088</v>
      </c>
      <c r="C10" s="6"/>
    </row>
    <row r="11" customFormat="false" ht="15" hidden="false" customHeight="false" outlineLevel="0" collapsed="false">
      <c r="A11" s="10" t="s">
        <v>720</v>
      </c>
      <c r="B11" s="25" t="n">
        <f aca="false">Historicals!$B$89</f>
        <v>3.952757946</v>
      </c>
      <c r="C11" s="6" t="s">
        <v>721</v>
      </c>
    </row>
    <row r="12" customFormat="false" ht="15" hidden="false" customHeight="false" outlineLevel="0" collapsed="false">
      <c r="A12" s="10" t="s">
        <v>722</v>
      </c>
      <c r="B12" s="25" t="n">
        <f aca="false">Inputs!$B$17</f>
        <v>0.0145712269999997</v>
      </c>
      <c r="C12" s="6"/>
    </row>
    <row r="13" customFormat="false" ht="15" hidden="false" customHeight="false" outlineLevel="0" collapsed="false">
      <c r="A13" s="10" t="s">
        <v>723</v>
      </c>
      <c r="B13" s="25" t="n">
        <f aca="false">B11+B12</f>
        <v>3.967329173</v>
      </c>
      <c r="C13" s="6"/>
    </row>
    <row r="14" customFormat="false" ht="15" hidden="false" customHeight="false" outlineLevel="0" collapsed="false">
      <c r="A14" s="10" t="s">
        <v>724</v>
      </c>
      <c r="B14" s="25" t="n">
        <f aca="false">B13*B10</f>
        <v>12.0909796863978</v>
      </c>
      <c r="C14" s="6" t="s">
        <v>725</v>
      </c>
    </row>
    <row r="15" customFormat="false" ht="15" hidden="false" customHeight="false" outlineLevel="0" collapsed="false">
      <c r="A15" s="10" t="s">
        <v>726</v>
      </c>
      <c r="B15" s="25" t="n">
        <f aca="false">Historicals!$B$50</f>
        <v>13.581063709</v>
      </c>
      <c r="C15" s="6"/>
    </row>
    <row r="16" customFormat="false" ht="15" hidden="false" customHeight="false" outlineLevel="0" collapsed="false">
      <c r="A16" s="10" t="s">
        <v>727</v>
      </c>
      <c r="B16" s="25" t="n">
        <f aca="false">Inputs!$B$15+Inputs!$B$16</f>
        <v>0.612402196759102</v>
      </c>
      <c r="C16" s="6"/>
    </row>
    <row r="17" customFormat="false" ht="15" hidden="false" customHeight="false" outlineLevel="0" collapsed="false">
      <c r="A17" s="10" t="s">
        <v>728</v>
      </c>
      <c r="B17" s="25" t="n">
        <f aca="false">B15+B16</f>
        <v>14.1934659057591</v>
      </c>
      <c r="C17" s="6"/>
    </row>
    <row r="18" customFormat="false" ht="15" hidden="false" customHeight="false" outlineLevel="0" collapsed="false">
      <c r="A18" s="10" t="s">
        <v>729</v>
      </c>
      <c r="B18" s="52" t="n">
        <f aca="false">Inputs!$B$18</f>
        <v>0.0194</v>
      </c>
      <c r="C18" s="6"/>
    </row>
    <row r="19" customFormat="false" ht="15" hidden="false" customHeight="false" outlineLevel="0" collapsed="false">
      <c r="A19" s="10" t="s">
        <v>730</v>
      </c>
      <c r="B19" s="25" t="n">
        <f aca="false">B17-B18+B14</f>
        <v>26.2650455921569</v>
      </c>
      <c r="C19" s="6"/>
    </row>
    <row r="20" customFormat="false" ht="15" hidden="false" customHeight="false" outlineLevel="0" collapsed="false">
      <c r="A20" s="10" t="s">
        <v>731</v>
      </c>
      <c r="B20" s="19" t="n">
        <f aca="false">(B17-B18)/B19</f>
        <v>0.539655103815684</v>
      </c>
      <c r="C20" s="6"/>
    </row>
    <row r="21" customFormat="false" ht="15" hidden="false" customHeight="false" outlineLevel="0" collapsed="false">
      <c r="A21" s="10" t="s">
        <v>732</v>
      </c>
      <c r="B21" s="19" t="n">
        <f aca="false">B14/B19</f>
        <v>0.460344896184316</v>
      </c>
      <c r="C21" s="6"/>
    </row>
    <row r="22" customFormat="false" ht="15" hidden="false" customHeight="false" outlineLevel="0" collapsed="false">
      <c r="A22" s="10" t="s">
        <v>733</v>
      </c>
      <c r="B22" s="47" t="n">
        <f aca="false">B17*B5</f>
        <v>2093.39428644041</v>
      </c>
      <c r="C22" s="6"/>
    </row>
    <row r="23" customFormat="false" ht="15" hidden="false" customHeight="false" outlineLevel="0" collapsed="false">
      <c r="A23" s="10" t="s">
        <v>734</v>
      </c>
      <c r="B23" s="47" t="n">
        <f aca="false">B13*B6</f>
        <v>1486.08216162234</v>
      </c>
      <c r="C23" s="6"/>
    </row>
    <row r="24" customFormat="false" ht="15" hidden="false" customHeight="false" outlineLevel="0" collapsed="false">
      <c r="A24" s="10" t="s">
        <v>735</v>
      </c>
      <c r="B24" s="47" t="n">
        <f aca="false">B23*B8</f>
        <v>297.216432324468</v>
      </c>
      <c r="C24" s="6"/>
    </row>
    <row r="25" customFormat="false" ht="15" hidden="false" customHeight="false" outlineLevel="0" collapsed="false">
      <c r="A25" s="10" t="s">
        <v>736</v>
      </c>
      <c r="B25" s="47" t="n">
        <f aca="false">B20*(B22+B23-B18*B5)-(B17-B18)*B5</f>
        <v>-160.394364641788</v>
      </c>
      <c r="C25" s="6" t="s">
        <v>737</v>
      </c>
    </row>
    <row r="27" customFormat="false" ht="15" hidden="false" customHeight="false" outlineLevel="0" collapsed="false">
      <c r="A27" s="8" t="s">
        <v>738</v>
      </c>
      <c r="B27" s="9" t="s">
        <v>739</v>
      </c>
      <c r="C27" s="9"/>
      <c r="D27" s="9" t="s">
        <v>104</v>
      </c>
    </row>
    <row r="28" customFormat="false" ht="15" hidden="false" customHeight="false" outlineLevel="0" collapsed="false">
      <c r="A28" s="10" t="s">
        <v>740</v>
      </c>
      <c r="B28" s="33" t="n">
        <f aca="false">Historicals!$B$100</f>
        <v>0.84949444</v>
      </c>
      <c r="D28" s="6" t="s">
        <v>741</v>
      </c>
    </row>
    <row r="29" customFormat="false" ht="15" hidden="false" customHeight="false" outlineLevel="0" collapsed="false">
      <c r="A29" s="10" t="s">
        <v>742</v>
      </c>
      <c r="B29" s="33" t="n">
        <f aca="false">Historicals!$B$101</f>
        <v>5.219053075</v>
      </c>
      <c r="D29" s="6" t="s">
        <v>743</v>
      </c>
    </row>
    <row r="30" customFormat="false" ht="15" hidden="false" customHeight="false" outlineLevel="0" collapsed="false">
      <c r="A30" s="10" t="s">
        <v>744</v>
      </c>
      <c r="B30" s="33" t="n">
        <f aca="false">Historicals!$B$102</f>
        <v>1.302072285</v>
      </c>
      <c r="D30" s="6"/>
    </row>
    <row r="31" customFormat="false" ht="15" hidden="false" customHeight="false" outlineLevel="0" collapsed="false">
      <c r="A31" s="10" t="s">
        <v>745</v>
      </c>
      <c r="B31" s="33" t="n">
        <f aca="false">Historicals!$B$103*MAX(0,1-Historicals!$C$55/B5)</f>
        <v>0.330493592785952</v>
      </c>
      <c r="D31" s="6" t="s">
        <v>746</v>
      </c>
    </row>
    <row r="32" customFormat="false" ht="15" hidden="false" customHeight="false" outlineLevel="0" collapsed="false">
      <c r="A32" s="10" t="s">
        <v>747</v>
      </c>
      <c r="B32" s="33" t="n">
        <f aca="false">Historicals!$B$104+Historicals!$B$105</f>
        <v>0.699580882</v>
      </c>
      <c r="D32" s="6" t="s">
        <v>748</v>
      </c>
    </row>
    <row r="33" customFormat="false" ht="15" hidden="false" customHeight="false" outlineLevel="0" collapsed="false">
      <c r="A33" s="10" t="s">
        <v>749</v>
      </c>
      <c r="B33" s="33" t="n">
        <f aca="false">Historicals!$B$106</f>
        <v>0.423743904</v>
      </c>
      <c r="D33" s="6"/>
    </row>
    <row r="34" customFormat="false" ht="15" hidden="false" customHeight="false" outlineLevel="0" collapsed="false">
      <c r="A34" s="10" t="s">
        <v>750</v>
      </c>
      <c r="B34" s="33" t="n">
        <f aca="false">Historicals!$B$39</f>
        <v>8.246541218</v>
      </c>
      <c r="D34" s="6" t="s">
        <v>751</v>
      </c>
    </row>
    <row r="35" customFormat="false" ht="15" hidden="false" customHeight="false" outlineLevel="0" collapsed="false">
      <c r="A35" s="10" t="s">
        <v>752</v>
      </c>
      <c r="B35" s="33" t="n">
        <f aca="false">Historicals!$B$40</f>
        <v>5.334522491</v>
      </c>
      <c r="D35" s="6"/>
    </row>
    <row r="36" customFormat="false" ht="15" hidden="false" customHeight="false" outlineLevel="0" collapsed="false">
      <c r="A36" s="10" t="s">
        <v>753</v>
      </c>
      <c r="B36" s="33" t="n">
        <f aca="false">B34-B18+Historicals!$B$89*B10</f>
        <v>20.2737130919929</v>
      </c>
      <c r="D36" s="6" t="s">
        <v>754</v>
      </c>
    </row>
    <row r="37" customFormat="false" ht="15" hidden="false" customHeight="false" outlineLevel="0" collapsed="false">
      <c r="A37" s="10" t="s">
        <v>755</v>
      </c>
      <c r="B37" s="33" t="n">
        <f aca="false">Base!$F$570</f>
        <v>0</v>
      </c>
      <c r="D37" s="6" t="s">
        <v>756</v>
      </c>
    </row>
    <row r="39" customFormat="false" ht="15" hidden="false" customHeight="false" outlineLevel="0" collapsed="false">
      <c r="A39" s="8" t="s">
        <v>757</v>
      </c>
      <c r="B39" s="9" t="s">
        <v>758</v>
      </c>
      <c r="C39" s="9" t="s">
        <v>759</v>
      </c>
      <c r="D39" s="9" t="s">
        <v>760</v>
      </c>
      <c r="E39" s="9" t="s">
        <v>761</v>
      </c>
    </row>
    <row r="40" customFormat="false" ht="15" hidden="false" customHeight="false" outlineLevel="0" collapsed="false">
      <c r="A40" s="13" t="s">
        <v>762</v>
      </c>
      <c r="B40" s="12" t="n">
        <f aca="false">($B$28+$B$29)/Historicals!$B$50</f>
        <v>0.446838896056312</v>
      </c>
      <c r="C40" s="12" t="n">
        <f aca="false">(($B$28+$B$29)+($B$32+$B$33)*$B$10)/(Historicals!$B$50-$B$18+Historicals!$B$89*$B$10)</f>
        <v>0.370663328552543</v>
      </c>
      <c r="D40" s="12" t="n">
        <f aca="false">(($B$28+$B$29)+($B$32+$B$33)*$B$10)/((Historicals!$B$50-$B$18+Historicals!$B$89*$B$10)+$B$37)</f>
        <v>0.370663328552543</v>
      </c>
      <c r="E40" s="6" t="s">
        <v>763</v>
      </c>
    </row>
    <row r="41" customFormat="false" ht="15" hidden="false" customHeight="false" outlineLevel="0" collapsed="false">
      <c r="A41" s="13" t="s">
        <v>764</v>
      </c>
      <c r="B41" s="12" t="n">
        <f aca="false">($B$28+$B$29-$B$30)/(Historicals!$B$50-Historicals!$B$42)</f>
        <v>0.389161531426192</v>
      </c>
      <c r="C41" s="12" t="n">
        <f aca="false">(($B$28+$B$29-$B$30)+$B$32*$B$10)/((Historicals!$B$50-Historicals!$B$42)-$B$18+(Historicals!$B$89-$B$33)*$B$10)</f>
        <v>0.300147865836052</v>
      </c>
      <c r="D41" s="12" t="n">
        <f aca="false">(($B$28+$B$29-$B$30)+$B$32*$B$10)/(((Historicals!$B$50-Historicals!$B$42)-$B$18+(Historicals!$B$89-$B$33)*$B$10)+$B$37)</f>
        <v>0.300147865836052</v>
      </c>
      <c r="E41" s="6" t="s">
        <v>765</v>
      </c>
    </row>
    <row r="42" customFormat="false" ht="15" hidden="false" customHeight="false" outlineLevel="0" collapsed="false">
      <c r="A42" s="13" t="s">
        <v>766</v>
      </c>
      <c r="B42" s="12" t="n">
        <f aca="false">(($B$28+$B$29)+$B$31)/B17</f>
        <v>0.450844152532856</v>
      </c>
      <c r="C42" s="12" t="n">
        <f aca="false">((($B$28+$B$29)+($B$32+$B$33)*$B$10)+$B$31)/B19</f>
        <v>0.37397717045155</v>
      </c>
      <c r="D42" s="12" t="n">
        <f aca="false">((($B$28+$B$29)+($B$32+$B$33)*$B$10)+$B$31)/(B19+$B$37)</f>
        <v>0.37397717045155</v>
      </c>
      <c r="E42" s="6" t="s">
        <v>767</v>
      </c>
    </row>
    <row r="43" customFormat="false" ht="15" hidden="false" customHeight="false" outlineLevel="0" collapsed="false">
      <c r="A43" s="13" t="s">
        <v>768</v>
      </c>
      <c r="B43" s="12" t="n">
        <f aca="false">($B$28+10*$B$29)/($B$34+10*$B$35)</f>
        <v>0.861154477690609</v>
      </c>
      <c r="C43" s="12" t="n">
        <f aca="false">(($B$28+10*$B$29)+$B$32*$B$10)/($B$36+10*$B$35)</f>
        <v>0.74942800531145</v>
      </c>
      <c r="D43" s="12" t="n">
        <f aca="false">(($B$28+10*$B$29)+$B$32*$B$10)/(($B$36+10*$B$35)+$B$37)</f>
        <v>0.74942800531145</v>
      </c>
      <c r="E43" s="6" t="s">
        <v>769</v>
      </c>
    </row>
    <row r="44" customFormat="false" ht="15" hidden="false" customHeight="false" outlineLevel="0" collapsed="false">
      <c r="A44" s="13" t="s">
        <v>770</v>
      </c>
      <c r="B44" s="12" t="n">
        <f aca="false">($B$28+10*$B$29)/($B$34+10*$B$35)</f>
        <v>0.861154477690609</v>
      </c>
      <c r="C44" s="12" t="n">
        <f aca="false">(($B$28+10*$B$29)+$B$32*$B$10)/(($B$36+10*$B$35)-$B$33*$B$10)</f>
        <v>0.762809143669833</v>
      </c>
      <c r="D44" s="12" t="n">
        <f aca="false">(($B$28+10*$B$29)+$B$32*$B$10)/(($B$36+10*$B$35)-$B$33*$B$10+$B$37)</f>
        <v>0.762809143669833</v>
      </c>
      <c r="E44" s="6" t="s">
        <v>771</v>
      </c>
    </row>
    <row r="45" customFormat="false" ht="15" hidden="false" customHeight="false" outlineLevel="0" collapsed="false">
      <c r="A45" s="6" t="s">
        <v>772</v>
      </c>
    </row>
    <row r="47" customFormat="false" ht="15" hidden="false" customHeight="false" outlineLevel="0" collapsed="false">
      <c r="A47" s="8" t="s">
        <v>773</v>
      </c>
      <c r="B47" s="9" t="s">
        <v>78</v>
      </c>
      <c r="C47" s="9"/>
      <c r="D47" s="9" t="s">
        <v>104</v>
      </c>
    </row>
    <row r="48" customFormat="false" ht="15" hidden="false" customHeight="false" outlineLevel="0" collapsed="false">
      <c r="A48" s="10" t="s">
        <v>774</v>
      </c>
      <c r="B48" s="6" t="s">
        <v>775</v>
      </c>
      <c r="F48" s="53" t="n">
        <v>2</v>
      </c>
      <c r="G48" s="53" t="n">
        <v>2.5</v>
      </c>
      <c r="H48" s="53" t="n">
        <v>3</v>
      </c>
      <c r="I48" s="53" t="n">
        <v>3.5</v>
      </c>
      <c r="J48" s="53" t="n">
        <v>4</v>
      </c>
      <c r="K48" s="53" t="n">
        <v>4.5</v>
      </c>
      <c r="L48" s="53" t="n">
        <v>5</v>
      </c>
      <c r="M48" s="53" t="n">
        <v>5.5</v>
      </c>
      <c r="N48" s="53" t="n">
        <v>6</v>
      </c>
      <c r="O48" s="53" t="n">
        <v>6.5</v>
      </c>
      <c r="P48" s="53" t="n">
        <v>7.5</v>
      </c>
      <c r="Q48" s="53" t="n">
        <v>8.5</v>
      </c>
    </row>
    <row r="49" customFormat="false" ht="15" hidden="false" customHeight="false" outlineLevel="0" collapsed="false">
      <c r="A49" s="10" t="s">
        <v>776</v>
      </c>
      <c r="B49" s="54" t="n">
        <f aca="false">MAX(B9,B6)*Historicals!$B$89/1000</f>
        <v>1.77674888569522</v>
      </c>
      <c r="D49" s="6" t="s">
        <v>777</v>
      </c>
    </row>
    <row r="50" customFormat="false" ht="15" hidden="false" customHeight="false" outlineLevel="0" collapsed="false">
      <c r="A50" s="10" t="s">
        <v>778</v>
      </c>
      <c r="B50" s="45" t="n">
        <f aca="false">COUNTIF($F$48:$Q$48,"&lt;="&amp;B49)</f>
        <v>0</v>
      </c>
      <c r="D50" s="6" t="s">
        <v>779</v>
      </c>
    </row>
    <row r="51" customFormat="false" ht="15" hidden="false" customHeight="false" outlineLevel="0" collapsed="false">
      <c r="A51" s="10" t="s">
        <v>780</v>
      </c>
      <c r="B51" s="33" t="n">
        <f aca="false">B50*Historicals!$B$108</f>
        <v>0</v>
      </c>
      <c r="D51" s="6"/>
    </row>
    <row r="52" customFormat="false" ht="15" hidden="false" customHeight="false" outlineLevel="0" collapsed="false">
      <c r="A52" s="10" t="s">
        <v>781</v>
      </c>
      <c r="B52" s="33" t="n">
        <f aca="false">Historicals!$B$106-B51</f>
        <v>0.423743904</v>
      </c>
      <c r="D52" s="6" t="s">
        <v>782</v>
      </c>
    </row>
    <row r="53" customFormat="false" ht="15" hidden="false" customHeight="false" outlineLevel="0" collapsed="false">
      <c r="A53" s="10" t="s">
        <v>783</v>
      </c>
      <c r="B53" s="33" t="n">
        <f aca="false">B51*MAX(0,1-Historicals!$B$107/B9)</f>
        <v>0</v>
      </c>
      <c r="D53" s="6" t="s">
        <v>784</v>
      </c>
    </row>
    <row r="54" customFormat="false" ht="15" hidden="false" customHeight="false" outlineLevel="0" collapsed="false">
      <c r="A54" s="10" t="s">
        <v>785</v>
      </c>
      <c r="B54" s="19" t="n">
        <f aca="false">Historicals!$B$109*1000/Historicals!$B$89/B6-1</f>
        <v>0.350781767374468</v>
      </c>
      <c r="D54" s="6" t="s">
        <v>786</v>
      </c>
    </row>
    <row r="55" customFormat="false" ht="15" hidden="false" customHeight="false" outlineLevel="0" collapsed="false">
      <c r="A55" s="10" t="s">
        <v>787</v>
      </c>
      <c r="B55" s="19" t="n">
        <f aca="false">($B$28+$B$29+($B$32+B53)*$B$10)/(Historicals!$B$50-$B$18+(Historicals!$B$89-$B$33+B53)*$B$10)</f>
        <v>0.337240514327129</v>
      </c>
      <c r="D55" s="6" t="s">
        <v>788</v>
      </c>
    </row>
    <row r="56" customFormat="false" ht="15" hidden="false" customHeight="false" outlineLevel="0" collapsed="false">
      <c r="A56" s="6" t="s">
        <v>789</v>
      </c>
    </row>
    <row r="58" customFormat="false" ht="15" hidden="false" customHeight="false" outlineLevel="0" collapsed="false">
      <c r="A58" s="8" t="s">
        <v>790</v>
      </c>
      <c r="B58" s="9" t="s">
        <v>78</v>
      </c>
      <c r="C58" s="9" t="s">
        <v>104</v>
      </c>
    </row>
    <row r="59" customFormat="false" ht="15" hidden="false" customHeight="false" outlineLevel="0" collapsed="false">
      <c r="A59" s="10" t="s">
        <v>791</v>
      </c>
      <c r="B59" s="25" t="n">
        <f aca="false">Historicals!$B$89</f>
        <v>3.952757946</v>
      </c>
      <c r="C59" s="6"/>
    </row>
    <row r="60" customFormat="false" ht="15" hidden="false" customHeight="false" outlineLevel="0" collapsed="false">
      <c r="A60" s="10" t="s">
        <v>792</v>
      </c>
      <c r="B60" s="25" t="n">
        <f aca="false">Historicals!$B$104+Historicals!$B$105</f>
        <v>0.699580882</v>
      </c>
      <c r="C60" s="6" t="s">
        <v>793</v>
      </c>
    </row>
    <row r="61" customFormat="false" ht="15" hidden="false" customHeight="false" outlineLevel="0" collapsed="false">
      <c r="A61" s="10" t="s">
        <v>794</v>
      </c>
      <c r="B61" s="25" t="n">
        <f aca="false">Historicals!$B$106</f>
        <v>0.423743904</v>
      </c>
      <c r="C61" s="6" t="s">
        <v>795</v>
      </c>
    </row>
    <row r="62" customFormat="false" ht="15" hidden="false" customHeight="false" outlineLevel="0" collapsed="false">
      <c r="A62" s="10" t="s">
        <v>796</v>
      </c>
      <c r="B62" s="25" t="n">
        <f aca="false">B59-B60-B61</f>
        <v>2.82943316</v>
      </c>
      <c r="C62" s="6" t="s">
        <v>797</v>
      </c>
    </row>
    <row r="63" customFormat="false" ht="15" hidden="false" customHeight="false" outlineLevel="0" collapsed="false">
      <c r="A63" s="10" t="s">
        <v>798</v>
      </c>
      <c r="B63" s="19" t="n">
        <f aca="false">Inputs!$B$20</f>
        <v>0.7</v>
      </c>
      <c r="C63" s="6"/>
    </row>
    <row r="64" customFormat="false" ht="15" hidden="false" customHeight="false" outlineLevel="0" collapsed="false">
      <c r="A64" s="10" t="s">
        <v>799</v>
      </c>
      <c r="B64" s="25" t="n">
        <f aca="false">B60+B63*B62</f>
        <v>2.680184094</v>
      </c>
      <c r="C64" s="6"/>
    </row>
    <row r="65" customFormat="false" ht="15" hidden="false" customHeight="false" outlineLevel="0" collapsed="false">
      <c r="A65" s="10" t="s">
        <v>800</v>
      </c>
      <c r="B65" s="25" t="n">
        <f aca="false">MAX(MAX(0,Inputs!$B$19*B59/(1+B61/B64)-B60),Inputs!$B$21*0.5*B63*B62)</f>
        <v>1.0069856010382</v>
      </c>
      <c r="C65" s="6" t="s">
        <v>801</v>
      </c>
    </row>
    <row r="66" customFormat="false" ht="15" hidden="false" customHeight="false" outlineLevel="0" collapsed="false">
      <c r="A66" s="10" t="s">
        <v>802</v>
      </c>
      <c r="B66" s="19" t="n">
        <f aca="false">B65/B62</f>
        <v>0.355896585674495</v>
      </c>
      <c r="C66" s="6"/>
    </row>
    <row r="67" customFormat="false" ht="15" hidden="false" customHeight="false" outlineLevel="0" collapsed="false">
      <c r="A67" s="10" t="s">
        <v>803</v>
      </c>
      <c r="B67" s="19" t="n">
        <f aca="false">B65/(B63*B62)</f>
        <v>0.508423693820708</v>
      </c>
      <c r="C67" s="6"/>
    </row>
    <row r="68" customFormat="false" ht="15" hidden="false" customHeight="false" outlineLevel="0" collapsed="false">
      <c r="A68" s="10" t="s">
        <v>804</v>
      </c>
      <c r="B68" s="49" t="str">
        <f aca="false">IF(B67&gt;1,"No","Yes")</f>
        <v>Yes</v>
      </c>
      <c r="C68" s="6"/>
    </row>
    <row r="70" customFormat="false" ht="15" hidden="false" customHeight="false" outlineLevel="0" collapsed="false">
      <c r="A70" s="8" t="s">
        <v>805</v>
      </c>
      <c r="B70" s="9" t="s">
        <v>806</v>
      </c>
      <c r="C70" s="9" t="s">
        <v>807</v>
      </c>
      <c r="D70" s="9" t="s">
        <v>808</v>
      </c>
      <c r="E70" s="9" t="s">
        <v>809</v>
      </c>
      <c r="F70" s="9" t="s">
        <v>810</v>
      </c>
    </row>
    <row r="71" customFormat="false" ht="15" hidden="false" customHeight="false" outlineLevel="0" collapsed="false">
      <c r="A71" s="13" t="s">
        <v>811</v>
      </c>
      <c r="B71" s="55" t="n">
        <v>0</v>
      </c>
      <c r="C71" s="55" t="n">
        <v>0.1</v>
      </c>
      <c r="D71" s="55" t="n">
        <v>0.2</v>
      </c>
      <c r="E71" s="55" t="n">
        <v>0.3</v>
      </c>
      <c r="F71" s="55" t="n">
        <v>0.4</v>
      </c>
    </row>
    <row r="72" customFormat="false" ht="15" hidden="false" customHeight="false" outlineLevel="0" collapsed="false">
      <c r="A72" s="56" t="n">
        <v>0</v>
      </c>
      <c r="B72" s="47" t="n">
        <f aca="false">($B$17-$B$18)/($B$17-$B$18+($B$13*$B$6*(1+B$71)/$B$5))*($B$22+$B$23-$B$18*$B$5+$A72*Base!$F$590)-($B$17-$B$18)*$B$5</f>
        <v>0</v>
      </c>
      <c r="C72" s="47" t="n">
        <f aca="false">($B$17-$B$18)/($B$17-$B$18+($B$13*$B$6*(1+C$71)/$B$5))*($B$22+$B$23-$B$18*$B$5+$A72*Base!$F$590)-($B$17-$B$18)*$B$5</f>
        <v>-83.3964428913055</v>
      </c>
      <c r="D72" s="47" t="n">
        <f aca="false">($B$17-$B$18)/($B$17-$B$18+($B$13*$B$6*(1+D$71)/$B$5))*($B$22+$B$23-$B$18*$B$5+$A72*Base!$F$590)-($B$17-$B$18)*$B$5</f>
        <v>-160.394364641788</v>
      </c>
      <c r="E72" s="47" t="n">
        <f aca="false">($B$17-$B$18)/($B$17-$B$18+($B$13*$B$6*(1+E$71)/$B$5))*($B$22+$B$23-$B$18*$B$5+$A72*Base!$F$590)-($B$17-$B$18)*$B$5</f>
        <v>-231.702941419887</v>
      </c>
      <c r="F72" s="47" t="n">
        <f aca="false">($B$17-$B$18)/($B$17-$B$18+($B$13*$B$6*(1+F$71)/$B$5))*($B$22+$B$23-$B$18*$B$5+$A72*Base!$F$590)-($B$17-$B$18)*$B$5</f>
        <v>-297.930281839637</v>
      </c>
    </row>
    <row r="73" customFormat="false" ht="15" hidden="false" customHeight="false" outlineLevel="0" collapsed="false">
      <c r="A73" s="56" t="n">
        <v>0.5</v>
      </c>
      <c r="B73" s="47" t="n">
        <f aca="false">($B$17-$B$18)/($B$17-$B$18+($B$13*$B$6*(1+B$71)/$B$5))*($B$22+$B$23-$B$18*$B$5+$A73*Base!$F$590)-($B$17-$B$18)*$B$5</f>
        <v>41.3421166830717</v>
      </c>
      <c r="C73" s="47" t="n">
        <f aca="false">($B$17-$B$18)/($B$17-$B$18+($B$13*$B$6*(1+C$71)/$B$5))*($B$22+$B$23-$B$18*$B$5+$A73*Base!$F$590)-($B$17-$B$18)*$B$5</f>
        <v>-43.7035637496763</v>
      </c>
      <c r="D73" s="47" t="n">
        <f aca="false">($B$17-$B$18)/($B$17-$B$18+($B$13*$B$6*(1+D$71)/$B$5))*($B$22+$B$23-$B$18*$B$5+$A73*Base!$F$590)-($B$17-$B$18)*$B$5</f>
        <v>-122.224186694134</v>
      </c>
      <c r="E73" s="47" t="n">
        <f aca="false">($B$17-$B$18)/($B$17-$B$18+($B$13*$B$6*(1+E$71)/$B$5))*($B$22+$B$23-$B$18*$B$5+$A73*Base!$F$590)-($B$17-$B$18)*$B$5</f>
        <v>-194.942952897249</v>
      </c>
      <c r="F73" s="47" t="n">
        <f aca="false">($B$17-$B$18)/($B$17-$B$18+($B$13*$B$6*(1+F$71)/$B$5))*($B$22+$B$23-$B$18*$B$5+$A73*Base!$F$590)-($B$17-$B$18)*$B$5</f>
        <v>-262.479996852347</v>
      </c>
    </row>
    <row r="74" customFormat="false" ht="15" hidden="false" customHeight="false" outlineLevel="0" collapsed="false">
      <c r="A74" s="56" t="n">
        <v>1</v>
      </c>
      <c r="B74" s="47" t="n">
        <f aca="false">($B$17-$B$18)/($B$17-$B$18+($B$13*$B$6*(1+B$71)/$B$5))*($B$22+$B$23-$B$18*$B$5+$A74*Base!$F$590)-($B$17-$B$18)*$B$5</f>
        <v>82.6842333661434</v>
      </c>
      <c r="C74" s="47" t="n">
        <f aca="false">($B$17-$B$18)/($B$17-$B$18+($B$13*$B$6*(1+C$71)/$B$5))*($B$22+$B$23-$B$18*$B$5+$A74*Base!$F$590)-($B$17-$B$18)*$B$5</f>
        <v>-4.01068460804709</v>
      </c>
      <c r="D74" s="47" t="n">
        <f aca="false">($B$17-$B$18)/($B$17-$B$18+($B$13*$B$6*(1+D$71)/$B$5))*($B$22+$B$23-$B$18*$B$5+$A74*Base!$F$590)-($B$17-$B$18)*$B$5</f>
        <v>-84.0540087464808</v>
      </c>
      <c r="E74" s="47" t="n">
        <f aca="false">($B$17-$B$18)/($B$17-$B$18+($B$13*$B$6*(1+E$71)/$B$5))*($B$22+$B$23-$B$18*$B$5+$A74*Base!$F$590)-($B$17-$B$18)*$B$5</f>
        <v>-158.182964374611</v>
      </c>
      <c r="F74" s="47" t="n">
        <f aca="false">($B$17-$B$18)/($B$17-$B$18+($B$13*$B$6*(1+F$71)/$B$5))*($B$22+$B$23-$B$18*$B$5+$A74*Base!$F$590)-($B$17-$B$18)*$B$5</f>
        <v>-227.029711865056</v>
      </c>
    </row>
    <row r="75" customFormat="false" ht="15" hidden="false" customHeight="false" outlineLevel="0" collapsed="false">
      <c r="A75" s="56" t="n">
        <v>1.5</v>
      </c>
      <c r="B75" s="47" t="n">
        <f aca="false">($B$17-$B$18)/($B$17-$B$18+($B$13*$B$6*(1+B$71)/$B$5))*($B$22+$B$23-$B$18*$B$5+$A75*Base!$F$590)-($B$17-$B$18)*$B$5</f>
        <v>124.026350049215</v>
      </c>
      <c r="C75" s="47" t="n">
        <f aca="false">($B$17-$B$18)/($B$17-$B$18+($B$13*$B$6*(1+C$71)/$B$5))*($B$22+$B$23-$B$18*$B$5+$A75*Base!$F$590)-($B$17-$B$18)*$B$5</f>
        <v>35.6821945335823</v>
      </c>
      <c r="D75" s="47" t="n">
        <f aca="false">($B$17-$B$18)/($B$17-$B$18+($B$13*$B$6*(1+D$71)/$B$5))*($B$22+$B$23-$B$18*$B$5+$A75*Base!$F$590)-($B$17-$B$18)*$B$5</f>
        <v>-45.8838307988276</v>
      </c>
      <c r="E75" s="47" t="n">
        <f aca="false">($B$17-$B$18)/($B$17-$B$18+($B$13*$B$6*(1+E$71)/$B$5))*($B$22+$B$23-$B$18*$B$5+$A75*Base!$F$590)-($B$17-$B$18)*$B$5</f>
        <v>-121.422975851974</v>
      </c>
      <c r="F75" s="47" t="n">
        <f aca="false">($B$17-$B$18)/($B$17-$B$18+($B$13*$B$6*(1+F$71)/$B$5))*($B$22+$B$23-$B$18*$B$5+$A75*Base!$F$590)-($B$17-$B$18)*$B$5</f>
        <v>-191.579426877766</v>
      </c>
    </row>
    <row r="76" customFormat="false" ht="15" hidden="false" customHeight="false" outlineLevel="0" collapsed="false">
      <c r="A76" s="56" t="n">
        <v>2</v>
      </c>
      <c r="B76" s="47" t="n">
        <f aca="false">($B$17-$B$18)/($B$17-$B$18+($B$13*$B$6*(1+B$71)/$B$5))*($B$22+$B$23-$B$18*$B$5+$A76*Base!$F$590)-($B$17-$B$18)*$B$5</f>
        <v>165.368466732286</v>
      </c>
      <c r="C76" s="47" t="n">
        <f aca="false">($B$17-$B$18)/($B$17-$B$18+($B$13*$B$6*(1+C$71)/$B$5))*($B$22+$B$23-$B$18*$B$5+$A76*Base!$F$590)-($B$17-$B$18)*$B$5</f>
        <v>75.3750736752113</v>
      </c>
      <c r="D76" s="47" t="n">
        <f aca="false">($B$17-$B$18)/($B$17-$B$18+($B$13*$B$6*(1+D$71)/$B$5))*($B$22+$B$23-$B$18*$B$5+$A76*Base!$F$590)-($B$17-$B$18)*$B$5</f>
        <v>-7.71365285117417</v>
      </c>
      <c r="E76" s="47" t="n">
        <f aca="false">($B$17-$B$18)/($B$17-$B$18+($B$13*$B$6*(1+E$71)/$B$5))*($B$22+$B$23-$B$18*$B$5+$A76*Base!$F$590)-($B$17-$B$18)*$B$5</f>
        <v>-84.6629873293364</v>
      </c>
      <c r="F76" s="47" t="n">
        <f aca="false">($B$17-$B$18)/($B$17-$B$18+($B$13*$B$6*(1+F$71)/$B$5))*($B$22+$B$23-$B$18*$B$5+$A76*Base!$F$590)-($B$17-$B$18)*$B$5</f>
        <v>-156.129141890476</v>
      </c>
    </row>
    <row r="77" customFormat="false" ht="15" hidden="false" customHeight="false" outlineLevel="0" collapsed="false">
      <c r="A77" s="6" t="s">
        <v>812</v>
      </c>
    </row>
    <row r="79" customFormat="false" ht="15" hidden="false" customHeight="false" outlineLevel="0" collapsed="false">
      <c r="A79" s="13" t="s">
        <v>85</v>
      </c>
      <c r="B79" s="18" t="n">
        <f aca="false">(B17-B18)*B5/B20-(B22+B23-B18*B5)</f>
        <v>297.216432324467</v>
      </c>
      <c r="C79" s="6" t="s">
        <v>813</v>
      </c>
    </row>
    <row r="80" customFormat="false" ht="15" hidden="false" customHeight="false" outlineLevel="0" collapsed="false">
      <c r="A80" s="10" t="s">
        <v>86</v>
      </c>
      <c r="B80" s="16" t="n">
        <f aca="false">Base!$F$590</f>
        <v>141.461380343732</v>
      </c>
    </row>
    <row r="81" customFormat="false" ht="15" hidden="false" customHeight="false" outlineLevel="0" collapsed="false">
      <c r="A81" s="10" t="s">
        <v>814</v>
      </c>
      <c r="B81" s="57" t="str">
        <f aca="false">IF(B80&gt;=B79,"Yes","No")</f>
        <v>No</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0"/>
  </cols>
  <sheetData>
    <row r="1" customFormat="false" ht="17.35" hidden="false" customHeight="false" outlineLevel="0" collapsed="false">
      <c r="A1" s="5" t="s">
        <v>815</v>
      </c>
    </row>
    <row r="3" customFormat="false" ht="15" hidden="false" customHeight="false" outlineLevel="0" collapsed="false">
      <c r="A3" s="8" t="s">
        <v>816</v>
      </c>
      <c r="B3" s="9" t="s">
        <v>817</v>
      </c>
    </row>
    <row r="4" customFormat="false" ht="15" hidden="false" customHeight="false" outlineLevel="0" collapsed="false">
      <c r="A4" s="10" t="s">
        <v>818</v>
      </c>
      <c r="B4" s="58" t="s">
        <v>819</v>
      </c>
    </row>
    <row r="5" customFormat="false" ht="15" hidden="false" customHeight="false" outlineLevel="0" collapsed="false">
      <c r="A5" s="10" t="s">
        <v>818</v>
      </c>
      <c r="B5" s="58" t="s">
        <v>820</v>
      </c>
    </row>
    <row r="6" customFormat="false" ht="23.85" hidden="false" customHeight="false" outlineLevel="0" collapsed="false">
      <c r="A6" s="10" t="s">
        <v>818</v>
      </c>
      <c r="B6" s="58" t="s">
        <v>821</v>
      </c>
    </row>
    <row r="7" customFormat="false" ht="23.85" hidden="false" customHeight="false" outlineLevel="0" collapsed="false">
      <c r="A7" s="10" t="s">
        <v>822</v>
      </c>
      <c r="B7" s="58" t="s">
        <v>823</v>
      </c>
    </row>
    <row r="8" customFormat="false" ht="15" hidden="false" customHeight="false" outlineLevel="0" collapsed="false">
      <c r="A8" s="10" t="s">
        <v>822</v>
      </c>
      <c r="B8" s="58" t="s">
        <v>824</v>
      </c>
    </row>
    <row r="9" customFormat="false" ht="15" hidden="false" customHeight="false" outlineLevel="0" collapsed="false">
      <c r="A9" s="10" t="s">
        <v>822</v>
      </c>
      <c r="B9" s="58" t="s">
        <v>825</v>
      </c>
    </row>
    <row r="10" customFormat="false" ht="15" hidden="false" customHeight="false" outlineLevel="0" collapsed="false">
      <c r="A10" s="10" t="s">
        <v>822</v>
      </c>
      <c r="B10" s="58" t="s">
        <v>826</v>
      </c>
    </row>
    <row r="11" customFormat="false" ht="15" hidden="false" customHeight="false" outlineLevel="0" collapsed="false">
      <c r="A11" s="10" t="s">
        <v>827</v>
      </c>
      <c r="B11" s="58" t="s">
        <v>828</v>
      </c>
    </row>
    <row r="12" customFormat="false" ht="15" hidden="false" customHeight="false" outlineLevel="0" collapsed="false">
      <c r="A12" s="10" t="s">
        <v>827</v>
      </c>
      <c r="B12" s="58" t="s">
        <v>829</v>
      </c>
    </row>
    <row r="13" customFormat="false" ht="23.85" hidden="false" customHeight="false" outlineLevel="0" collapsed="false">
      <c r="A13" s="10" t="s">
        <v>827</v>
      </c>
      <c r="B13" s="58" t="s">
        <v>830</v>
      </c>
    </row>
    <row r="14" customFormat="false" ht="23.85" hidden="false" customHeight="false" outlineLevel="0" collapsed="false">
      <c r="A14" s="10" t="s">
        <v>827</v>
      </c>
      <c r="B14" s="58" t="s">
        <v>831</v>
      </c>
    </row>
    <row r="15" customFormat="false" ht="15" hidden="false" customHeight="false" outlineLevel="0" collapsed="false">
      <c r="A15" s="10" t="s">
        <v>827</v>
      </c>
      <c r="B15" s="58" t="s">
        <v>832</v>
      </c>
    </row>
    <row r="16" customFormat="false" ht="15" hidden="false" customHeight="false" outlineLevel="0" collapsed="false">
      <c r="A16" s="10" t="s">
        <v>827</v>
      </c>
      <c r="B16" s="58" t="s">
        <v>833</v>
      </c>
    </row>
    <row r="17" customFormat="false" ht="15" hidden="false" customHeight="false" outlineLevel="0" collapsed="false">
      <c r="A17" s="10" t="s">
        <v>827</v>
      </c>
      <c r="B17" s="58" t="s">
        <v>834</v>
      </c>
    </row>
    <row r="18" customFormat="false" ht="15" hidden="false" customHeight="false" outlineLevel="0" collapsed="false">
      <c r="A18" s="10" t="s">
        <v>827</v>
      </c>
      <c r="B18" s="58" t="s">
        <v>835</v>
      </c>
    </row>
    <row r="19" customFormat="false" ht="15" hidden="false" customHeight="false" outlineLevel="0" collapsed="false">
      <c r="A19" s="10" t="s">
        <v>827</v>
      </c>
      <c r="B19" s="58" t="s">
        <v>836</v>
      </c>
    </row>
    <row r="20" customFormat="false" ht="23.85" hidden="false" customHeight="false" outlineLevel="0" collapsed="false">
      <c r="A20" s="10" t="s">
        <v>827</v>
      </c>
      <c r="B20" s="58" t="s">
        <v>837</v>
      </c>
    </row>
    <row r="21" customFormat="false" ht="15" hidden="false" customHeight="false" outlineLevel="0" collapsed="false">
      <c r="A21" s="10" t="s">
        <v>838</v>
      </c>
      <c r="B21" s="58" t="s">
        <v>839</v>
      </c>
    </row>
    <row r="22" customFormat="false" ht="15" hidden="false" customHeight="false" outlineLevel="0" collapsed="false">
      <c r="A22" s="10" t="s">
        <v>838</v>
      </c>
      <c r="B22" s="58" t="s">
        <v>840</v>
      </c>
    </row>
    <row r="23" customFormat="false" ht="23.85" hidden="false" customHeight="false" outlineLevel="0" collapsed="false">
      <c r="A23" s="10" t="s">
        <v>838</v>
      </c>
      <c r="B23" s="58" t="s">
        <v>841</v>
      </c>
    </row>
    <row r="24" customFormat="false" ht="15" hidden="false" customHeight="false" outlineLevel="0" collapsed="false">
      <c r="A24" s="10" t="s">
        <v>838</v>
      </c>
      <c r="B24" s="58" t="s">
        <v>842</v>
      </c>
    </row>
    <row r="25" customFormat="false" ht="15" hidden="false" customHeight="false" outlineLevel="0" collapsed="false">
      <c r="A25" s="10" t="s">
        <v>838</v>
      </c>
      <c r="B25" s="58" t="s">
        <v>843</v>
      </c>
    </row>
    <row r="26" customFormat="false" ht="15" hidden="false" customHeight="false" outlineLevel="0" collapsed="false">
      <c r="A26" s="10" t="s">
        <v>838</v>
      </c>
      <c r="B26" s="58" t="s">
        <v>844</v>
      </c>
    </row>
    <row r="27" customFormat="false" ht="15" hidden="false" customHeight="false" outlineLevel="0" collapsed="false">
      <c r="A27" s="10" t="s">
        <v>838</v>
      </c>
      <c r="B27" s="58" t="s">
        <v>845</v>
      </c>
    </row>
    <row r="28" customFormat="false" ht="15" hidden="false" customHeight="false" outlineLevel="0" collapsed="false">
      <c r="A28" s="10" t="s">
        <v>838</v>
      </c>
      <c r="B28" s="58" t="s">
        <v>846</v>
      </c>
    </row>
    <row r="29" customFormat="false" ht="15" hidden="false" customHeight="false" outlineLevel="0" collapsed="false">
      <c r="A29" s="10" t="s">
        <v>838</v>
      </c>
      <c r="B29" s="58" t="s">
        <v>847</v>
      </c>
    </row>
    <row r="30" customFormat="false" ht="15" hidden="false" customHeight="false" outlineLevel="0" collapsed="false">
      <c r="A30" s="10" t="s">
        <v>838</v>
      </c>
      <c r="B30" s="58" t="s">
        <v>848</v>
      </c>
    </row>
    <row r="31" customFormat="false" ht="15" hidden="false" customHeight="false" outlineLevel="0" collapsed="false">
      <c r="A31" s="10" t="s">
        <v>838</v>
      </c>
      <c r="B31" s="58" t="s">
        <v>849</v>
      </c>
    </row>
    <row r="32" customFormat="false" ht="23.85" hidden="false" customHeight="false" outlineLevel="0" collapsed="false">
      <c r="A32" s="10" t="s">
        <v>838</v>
      </c>
      <c r="B32" s="58" t="s">
        <v>850</v>
      </c>
    </row>
    <row r="33" customFormat="false" ht="15" hidden="false" customHeight="false" outlineLevel="0" collapsed="false">
      <c r="A33" s="10" t="s">
        <v>851</v>
      </c>
      <c r="B33" s="58" t="s">
        <v>852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2026-10-27T04:56:32Z</dcterms:created>
  <dc:creator>Mike Ye</dc:creator>
  <dc:description/>
  <dc:language>en-US</dc:language>
  <cp:lastModifiedBy>Mike Ye</cp:lastModifiedBy>
  <dcterms:modified xsi:type="dcterms:W3CDTF">2026-10-27T04:56:32Z</dcterms:modified>
  <cp:revision>0</cp:revision>
  <dc:subject/>
  <dc:title>SpaceX x Tesla Merger Model v1.2.2</dc:title>
</cp:coreProperties>
</file>

<file path=docProps/custom.xml><?xml version="1.0" encoding="utf-8"?>
<Properties xmlns="http://schemas.openxmlformats.org/officeDocument/2006/custom-properties" xmlns:vt="http://schemas.openxmlformats.org/officeDocument/2006/docPropsVTypes"/>
</file>