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24.xml" ContentType="application/vnd.openxmlformats-officedocument.spreadsheetml.worksheet+xml"/>
  <Override PartName="/xl/worksheets/sheet1.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Change Log" sheetId="3" state="visible" r:id="rId5"/>
    <sheet name="Historicals" sheetId="4" state="visible" r:id="rId6"/>
    <sheet name="Inputs" sheetId="5" state="visible" r:id="rId7"/>
    <sheet name="Bear" sheetId="6" state="visible" r:id="rId8"/>
    <sheet name="Base" sheetId="7" state="visible" r:id="rId9"/>
    <sheet name="Bull" sheetId="8" state="visible" r:id="rId10"/>
    <sheet name="S1" sheetId="9" state="visible" r:id="rId11"/>
    <sheet name="S2" sheetId="10" state="visible" r:id="rId12"/>
    <sheet name="S3" sheetId="11" state="visible" r:id="rId13"/>
    <sheet name="S4" sheetId="12" state="visible" r:id="rId14"/>
    <sheet name="S5" sheetId="13" state="visible" r:id="rId15"/>
    <sheet name="S6" sheetId="14" state="visible" r:id="rId16"/>
    <sheet name="T21" sheetId="15" state="visible" r:id="rId17"/>
    <sheet name="T25" sheetId="16" state="visible" r:id="rId18"/>
    <sheet name="T28" sheetId="17" state="visible" r:id="rId19"/>
    <sheet name="S7" sheetId="18" state="visible" r:id="rId20"/>
    <sheet name="S8" sheetId="19" state="visible" r:id="rId21"/>
    <sheet name="S8E" sheetId="20" state="visible" r:id="rId22"/>
    <sheet name="S8L" sheetId="21" state="visible" r:id="rId23"/>
    <sheet name="S9" sheetId="22" state="visible" r:id="rId24"/>
    <sheet name="S10" sheetId="23" state="visible" r:id="rId25"/>
    <sheet name="Stress Tests" sheetId="24" state="visible" r:id="rId26"/>
  </sheet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B45" authorId="0">
      <text>
        <r>
          <rPr>
            <sz val="10"/>
            <rFont val="Arial"/>
            <family val="2"/>
          </rPr>
          <t xml:space="preserve">Derived: S-1 total other income (expense) of $(978)M less interest income and fair value change.</t>
        </r>
      </text>
    </comment>
    <comment ref="B66" authorId="0">
      <text>
        <r>
          <rPr>
            <sz val="10"/>
            <rFont val="Arial"/>
            <family val="2"/>
          </rPr>
          <t xml:space="preserve">S-1 risk factors: revenue increased from $197 million for the three months ended December 31, 2024 (verified in filing text).</t>
        </r>
      </text>
    </comment>
    <comment ref="B67" authorId="0">
      <text>
        <r>
          <rPr>
            <sz val="10"/>
            <rFont val="Arial"/>
            <family val="2"/>
          </rPr>
          <t xml:space="preserve">Original S-1: Q3 2026 revenue was 86 times Q4 2024 (dollar figure left blank). The S-1/A (Nov 2, 2026) reports $16,956M.</t>
        </r>
      </text>
    </comment>
    <comment ref="C55" authorId="0">
      <text>
        <r>
          <rPr>
            <sz val="10"/>
            <rFont val="Arial"/>
            <family val="2"/>
          </rPr>
          <t xml:space="preserve">S-1 as reported by Cape Fear Advisors and PPC Land. Marketplace sales are booked gross; partner fees sit in sales, marketing &amp; partnerships.</t>
        </r>
      </text>
    </comment>
    <comment ref="D55" authorId="0">
      <text>
        <r>
          <rPr>
            <sz val="10"/>
            <rFont val="Arial"/>
            <family val="2"/>
          </rPr>
          <t xml:space="preserve">S-1 as reported by Cape Fear Advisors and PPC Land. Marketplace sales are booked gross; partner fees sit in sales, marketing &amp; partnerships.</t>
        </r>
      </text>
    </comment>
    <comment ref="F55" authorId="0">
      <text>
        <r>
          <rPr>
            <sz val="10"/>
            <rFont val="Arial"/>
            <family val="2"/>
          </rPr>
          <t xml:space="preserve">S-1 as reported by Cape Fear Advisors and PPC Land. Marketplace sales are booked gross; partner fees sit in sales, marketing &amp; partnerships.</t>
        </r>
      </text>
    </comment>
    <comment ref="G19" authorId="0">
      <text>
        <r>
          <rPr>
            <sz val="10"/>
            <rFont val="Arial"/>
            <family val="2"/>
          </rPr>
          <t xml:space="preserve">S-1 quarterly Adjusted Operating Income reconciliation: $1,261M (the income statement footnote rounds to $1.3 billion).</t>
        </r>
      </text>
    </comment>
  </commentList>
</comments>
</file>

<file path=xl/sharedStrings.xml><?xml version="1.0" encoding="utf-8"?>
<sst xmlns="http://schemas.openxmlformats.org/spreadsheetml/2006/main" count="4640" uniqueCount="758">
  <si>
    <t xml:space="preserve">Anthropic (ANT) IPO Valuation — Hybrid Business Model</t>
  </si>
  <si>
    <t xml:space="preserve">Prepared by Mike Ye  |  mikeye.com  |  Version 1.3.3, November 2, 2026  |  S-1/A actuals updated; Q4 forecasting basis refreshed; long-term scenario assumptions unchanged</t>
  </si>
  <si>
    <t xml:space="preserve">WHAT THIS IS</t>
  </si>
  <si>
    <t xml:space="preserve">A scenario valuation of Anthropic built from its public S-1. It values (1) the business as it exists today, pay-per-token plus subscriptions, and (2) a hybrid that adds a</t>
  </si>
  <si>
    <t xml:space="preserve">hypothetical third line where Anthropic takes a cut of measurable value Claude creates for partners. The question: can tokens and subscriptions alone support a $2T valuation?</t>
  </si>
  <si>
    <t xml:space="preserve">Reported facts, figures derived from the filing, and hypothetical assumptions are labeled separately.</t>
  </si>
  <si>
    <t xml:space="preserve">HOW TO USE IT</t>
  </si>
  <si>
    <t xml:space="preserve">Change yellow cells on Inputs and the model recalculates. Input checks at the bottom of Inputs reject invalid entries (negative costs, fractional depreciation lives,</t>
  </si>
  <si>
    <t xml:space="preserve">stock comp above personnel); loss-making scenarios are allowed and show 'Not meaningful' instead. The Summary shows the check result in cell A3.</t>
  </si>
  <si>
    <t xml:space="preserve">Color code: blue = typed in (reported or assumed); black = formula; green = link to another tab; yellow fill = assumption you can change.</t>
  </si>
  <si>
    <t xml:space="preserve">TABS</t>
  </si>
  <si>
    <t xml:space="preserve">Summary — results, linked limitations, break-even tests, market check, $2T test, tax sensitivity, committed compute vs. forecast.  Change Log — changes and checks.</t>
  </si>
  <si>
    <t xml:space="preserve">Historicals — S-1 and S-1/A financials, H1 and Q3 2026 cash bridges.  Inputs — assumptions, share bridge, tax settings, commitments, stress definitions, input checks.</t>
  </si>
  <si>
    <t xml:space="preserve">Bear / Base / Bull — valuation cases. S1-S10 (incl. S8E, S8L) — stress tests. T21 / T25 / T28 — flat tax-rate sensitivities. Stress Tests — side-by-side stress results.</t>
  </si>
  <si>
    <t xml:space="preserve">METHOD</t>
  </si>
  <si>
    <t xml:space="preserve">1. 2026 = H1 and Q3 2026 actual (S-1/A) + an assumed Q4. Q4 costs use Q3 ratios, except compute (a separate assumption). 2027-2030 grow at assumed rates.</t>
  </si>
  <si>
    <t xml:space="preserve">2. Costs are built line by line. Compute grows on its own schedule (the S-1 says it is bought 12-18 months ahead and largely fixed). Bear grows compute with revenue,</t>
  </si>
  <si>
    <t xml:space="preserve">   so the stress tests carry the demand-versus-capacity risk. S2 raises compute 20% from 2027. S8/S8E/S8L set a commitment floor; S9 is a proportional contingent haircut; S10 normalizes the compute base.</t>
  </si>
  <si>
    <t xml:space="preserve">3. Three measures: earnings (after stock comp and depreciation; P/E method), actual cash flow (adds back non-cash stock comp and share-settled donations, includes</t>
  </si>
  <si>
    <t xml:space="preserve">   interest; cash roll-forward and funding), and economic cash flow (compensation charged once, interest excluded; valuation).</t>
  </si>
  <si>
    <t xml:space="preserve">4. Compute is forecast as cash spending. The Broadcom equipment leases are finance leases under the S-1 (about $161.2B of rent over five years, payable quarterly once</t>
  </si>
  <si>
    <t xml:space="preserve">   equipment is ready for service), but the payment timing is incomplete, so lease rent is treated as compute spending when incurred. Commitments ($895.4B, S-1/A) are not deducted as debt.</t>
  </si>
  <si>
    <t xml:space="preserve">   Owned capacity (capex) is depreciated by vintage over the chosen life; depreciation reduces earnings and taxes, and capex is the cash cost.</t>
  </si>
  <si>
    <t xml:space="preserve">5. Prepaid compute (stress S7): paid at the start of 2027; credits are scheduled over three years but capped by eligible compute charges and the remaining balance,</t>
  </si>
  <si>
    <t xml:space="preserve">   with unused credits carried forward. Any balance left at end 2030 is counted as an asset (no refund assumed). The exit value excludes prepayment timing, and a</t>
  </si>
  <si>
    <t xml:space="preserve">   start-of-year payment is discounted from the start of its year (once, in the cash flows both valuation methods share).</t>
  </si>
  <si>
    <t xml:space="preserve">6. Taxes: federal NOLs of $8.2B (S-1) used up to 80% of taxable income at 21%; a state layer (72% of income at 6%, both assumptions) gives a mature combined rate of</t>
  </si>
  <si>
    <t xml:space="preserve">   24.41%; state NOLs of $4.2B (S-1) suspended in 2026. Taxable income is a proxy, not a tax return. The IPO RSU deduction is an input defaulting to zero.</t>
  </si>
  <si>
    <t xml:space="preserve">7. Value = 50/50 blend of (a) 2030 earnings x exit P/E plus discounted 2027-2030 economic cash flow, and (b) discounted 2027-2030 economic cash flow plus an exit multiple,</t>
  </si>
  <si>
    <t xml:space="preserve">   both discounted to end 2026, plus end-2026 cash. Both methods share the same forecasts, and about 90% of value sits in the post-2030 exit value.</t>
  </si>
  <si>
    <t xml:space="preserve">8. Validity: when 2030 earnings or cash flow are negative, or value is at or below zero, the model does not apply exit multiples or compute a share price; those</t>
  </si>
  <si>
    <t xml:space="preserve">   outputs show 'unresolved'. Raw calculated equity, 2030 cash flow and cash runway are shown on the Stress Tests tab as diagnostics only, not valuations.</t>
  </si>
  <si>
    <t xml:space="preserve">   No liquidation or cash-only shareholder recovery is modeled, because remaining obligations are not scheduled in the S-1.</t>
  </si>
  <si>
    <t xml:space="preserve">9. Funding: cash starts at the Sep 30, 2026 balance and tracks the lowest cash in each year, including start-of-year payments. A shortfall below an assumed $5B operating cash buffer</t>
  </si>
  <si>
    <t xml:space="preserve">   ($0 shown as a sensitivity) is assumed raised as</t>
  </si>
  <si>
    <t xml:space="preserve">   equity at the start of that year, at a discount (15%; 0% and 30% shown) to the pre-funding value per share rolled forward to that date, plus 3% fees. A funded cash path</t>
  </si>
  <si>
    <t xml:space="preserve">   shows proceeds, interest on the funded balance after payments, and tax. The separate $5B minimum-liquidity covenant (S-1) is checked against year-end cash as a proxy; the covenant's definition of</t>
  </si>
  <si>
    <t xml:space="preserve">   liquidity is not in the S-1. Positive modeled value does not guarantee access to capital.</t>
  </si>
  <si>
    <t xml:space="preserve">10. Shares: June 30, 2026 fully diluted count (derived) + 846.8M Public Benefit issuance + ~125M post-June RSUs (78.4M Q3 net change in performance RSUs + ~47M service-only after Sep 30) + ~28M donation shares = 17,937M economic</t>
  </si>
  <si>
    <t xml:space="preserve">   shares. Further Public Benefit issuances (up to 2% per 50% price step, after 90 of 120 trading days, at board discretion) are approximated.</t>
  </si>
  <si>
    <t xml:space="preserve">11. Value-share line: entirely hypothetical. Three tests: operating contribution; cash after tax, capex and its depreciation tax shield (steady state, plus the same</t>
  </si>
  <si>
    <t xml:space="preserve">   test taken from the full 2030 build); and full value. Passing the first does not ensure the others.</t>
  </si>
  <si>
    <t xml:space="preserve">12. Commitment floor (S8, S8E, S8L): compute spending each year (Q4 2026 to 2030) is at least the committed amount: the dated contractual-obligations table ($171.6B through 2030), short-term</t>
  </si>
  <si>
    <t xml:space="preserve">    commitments ($24.0B, 25% in Q4 2026), and the undated remainder ($251.9B, timing by floor weights; S8E/S8L test earlier and later timing). Cost stress only, no extra revenue.</t>
  </si>
  <si>
    <t xml:space="preserve">13. Forward compute base adjustment: a hypothetical reduction of the 2026 base that later compute growth compounds on (default 0); reported costs and cash unchanged. S10 removes Q3 compute above 45% of Q3 revenue.</t>
  </si>
  <si>
    <t xml:space="preserve">WHAT THE S-1 DOES NOT DISCLOSE (UNRESOLVED INPUTS)</t>
  </si>
  <si>
    <t xml:space="preserve">A complete annual schedule for commitments (only $320.0B is in the dated table); revenue by model tier; a gross margin line; offering size, price range and</t>
  </si>
  <si>
    <t xml:space="preserve">IPO shares; RSU withholding and the IPO tax deduction; state apportionment; the definition of 'fully diluted' (options/RSUs assumed included) and of covenant 'liquidity'.</t>
  </si>
  <si>
    <t xml:space="preserve">SOURCES</t>
  </si>
  <si>
    <t xml:space="preserve">Anthropic, PBC Form S-1 (Oct 26, 2026) and S-1/A Amendment No. 1 (Nov 2, 2026), SEC EDGAR CIK 2130357, checked directly: Q3 2026 results, commitments, cash, plus financial statements, revenue split, share data, Public Benefit terms, Q4</t>
  </si>
  <si>
    <t xml:space="preserve">2024 revenue ($197M), Q2 and Q3 2026 stock comp ($1,261M and $1,070M, non-GAAP reconciliation), Note 17 (~91M and ~47M RSUs, $1.96B Q3 donation charge, ~28M shares, $5.0B</t>
  </si>
  <si>
    <t xml:space="preserve">liquidity covenant), Broadcom finance leases (~$161.2B rent), NOLs ($8.2B federal, $4.2B state). Marketplace share of revenue: S-1 as reported by Cape Fear Advisors,</t>
  </si>
  <si>
    <t xml:space="preserve">PPC Land and Calcalist. Valuations under discussion: Reuters and Yahoo Finance, Oct-Nov 2026. California NOL suspension: KPMG, Wilson Sonsini and WilmerHale summaries.</t>
  </si>
  <si>
    <t xml:space="preserve">IMPORTANT</t>
  </si>
  <si>
    <t xml:space="preserve">For informational and educational purposes only. Not investment advice and not a recommendation to buy or sell any security. The S-1/A is a preliminary prospectus and may change.</t>
  </si>
  <si>
    <t xml:space="preserve">Projections, scenarios, financing terms and the value-share business line are the author's assumptions, not company guidance; Anthropic has not disclosed any plan for such a line.</t>
  </si>
  <si>
    <t xml:space="preserve">Anthropic has not reviewed or endorsed this model. Do your own research.</t>
  </si>
  <si>
    <t xml:space="preserve">Anthropic (ANT) — IPO valuation: core business vs. hybrid business model (v1.3.3)</t>
  </si>
  <si>
    <t xml:space="preserve">Prepared by Mike Ye, mikeye.com. $ billions except per share. Change yellow cells on Inputs. Not investment advice — see Read Me.</t>
  </si>
  <si>
    <t xml:space="preserve">Valuation</t>
  </si>
  <si>
    <t xml:space="preserve">Bear</t>
  </si>
  <si>
    <t xml:space="preserve">Base</t>
  </si>
  <si>
    <t xml:space="preserve">Bull</t>
  </si>
  <si>
    <t xml:space="preserve">Weighted</t>
  </si>
  <si>
    <t xml:space="preserve">Value per share — hybrid</t>
  </si>
  <si>
    <t xml:space="preserve">Value per share — core only (tokens + subscriptions)</t>
  </si>
  <si>
    <t xml:space="preserve">Equity value — hybrid ($B)</t>
  </si>
  <si>
    <t xml:space="preserve">Equity value — core only ($B)</t>
  </si>
  <si>
    <t xml:space="preserve">Hybrid uplift vs. core</t>
  </si>
  <si>
    <t xml:space="preserve">Funding status (hybrid)</t>
  </si>
  <si>
    <t xml:space="preserve">Public Benefit issuance steps (hybrid)</t>
  </si>
  <si>
    <t xml:space="preserve">Exit value share of value — P/E / cash flow (hybrid)</t>
  </si>
  <si>
    <t xml:space="preserve">Probability</t>
  </si>
  <si>
    <t xml:space="preserve">Bull case share of weighted hybrid value per share</t>
  </si>
  <si>
    <t xml:space="preserve">Headline limitations (linked)</t>
  </si>
  <si>
    <t xml:space="preserve">Value</t>
  </si>
  <si>
    <t xml:space="preserve">Base hybrid value per share</t>
  </si>
  <si>
    <t xml:space="preserve">Combined-stress (S6) hybrid value per share</t>
  </si>
  <si>
    <t xml:space="preserve">Combined-stress funding status</t>
  </si>
  <si>
    <t xml:space="preserve">Flat-revenue stress (S1): cash at end 2030 and runway</t>
  </si>
  <si>
    <t xml:space="preserve">Base: exit value share of value (P/E method / cash flow method)</t>
  </si>
  <si>
    <t xml:space="preserve">Bull share of weighted value</t>
  </si>
  <si>
    <t xml:space="preserve">Both valuation methods use the same forecasts, so blending them is not independent confirmation. Most value sits in the post-2030 exit value.</t>
  </si>
  <si>
    <t xml:space="preserve">2030 snapshot</t>
  </si>
  <si>
    <t xml:space="preserve">Core revenue ($B)</t>
  </si>
  <si>
    <t xml:space="preserve">Hybrid total revenue ($B)</t>
  </si>
  <si>
    <t xml:space="preserve">Value-share revenue, gross ($B)</t>
  </si>
  <si>
    <t xml:space="preserve">Core operating margin (after stock comp &amp; depreciation)</t>
  </si>
  <si>
    <t xml:space="preserve">Hybrid operating margin</t>
  </si>
  <si>
    <t xml:space="preserve">Compute % of core revenue</t>
  </si>
  <si>
    <t xml:space="preserve">Effective tax rate (hybrid)</t>
  </si>
  <si>
    <t xml:space="preserve">Value created for partners ($B)</t>
  </si>
  <si>
    <t xml:space="preserve">Value created as % of $40T knowledge-work pool</t>
  </si>
  <si>
    <t xml:space="preserve">Value-share break-even tests (per $1 of revenue moved, 2030 steady state)</t>
  </si>
  <si>
    <t xml:space="preserve">1. Operating: contribution per $1 moved</t>
  </si>
  <si>
    <t xml:space="preserve">2. Cash: after tax, capex and its depreciation tax shield, per $1 moved (steady state)</t>
  </si>
  <si>
    <t xml:space="preserve">3. Value: hybrid equity less core equity ($B)</t>
  </si>
  <si>
    <t xml:space="preserve">Minimum cut to pass operating test</t>
  </si>
  <si>
    <t xml:space="preserve">Minimum cut to pass cash test</t>
  </si>
  <si>
    <t xml:space="preserve">Cut assumed</t>
  </si>
  <si>
    <t xml:space="preserve">Test 2 assumes steady state, where depreciation equals capex, so the tax shield offsets tax on depreciation; the row below is the same test taken from the full 2030 build (includes growth timing and depreciation lags). Test 3 is the full model. All value-share inputs are hypothetical.</t>
  </si>
  <si>
    <t xml:space="preserve">2b. Cash test from the full model: 2030 incremental economic cash flow per $1 moved</t>
  </si>
  <si>
    <t xml:space="preserve">Market check</t>
  </si>
  <si>
    <t xml:space="preserve">Reference</t>
  </si>
  <si>
    <t xml:space="preserve">Target</t>
  </si>
  <si>
    <t xml:space="preserve">Valuation ($B)</t>
  </si>
  <si>
    <t xml:space="preserve">Implied price per share (economic shares, before Public Benefit steps)</t>
  </si>
  <si>
    <t xml:space="preserve">Upside / (downside): weighted hybrid value</t>
  </si>
  <si>
    <t xml:space="preserve">Upside / (downside): base hybrid value</t>
  </si>
  <si>
    <t xml:space="preserve">Upside / (downside): base core-only value</t>
  </si>
  <si>
    <t xml:space="preserve">Can the base case reach the target?</t>
  </si>
  <si>
    <t xml:space="preserve">Target valuation ($B)</t>
  </si>
  <si>
    <t xml:space="preserve">Base hybrid equity value ($B)</t>
  </si>
  <si>
    <t xml:space="preserve">Gap to target ($B)</t>
  </si>
  <si>
    <t xml:space="preserve">Value added by the value-share line, base case ($B)</t>
  </si>
  <si>
    <t xml:space="preserve">Value-share adoption needed, as a multiple of base-case adoption</t>
  </si>
  <si>
    <t xml:space="preserve">Implied 2030 share of revenue base on value-share</t>
  </si>
  <si>
    <t xml:space="preserve">  Base-case 2030 share, for comparison</t>
  </si>
  <si>
    <t xml:space="preserve">Solve is exact under current inputs?</t>
  </si>
  <si>
    <t xml:space="preserve">Exact when tax losses are used up by end 2027 on both paths, no funding is needed and profits stay positive: value-share value then scales in proportion to adoption. Public Benefit steps affect per-share values only.</t>
  </si>
  <si>
    <t xml:space="preserve">Tax sensitivity: base case value per share</t>
  </si>
  <si>
    <t xml:space="preserve">Detailed (NOL + state)</t>
  </si>
  <si>
    <t xml:space="preserve">Flat 21%</t>
  </si>
  <si>
    <t xml:space="preserve">Flat 25%</t>
  </si>
  <si>
    <t xml:space="preserve">Flat 28%</t>
  </si>
  <si>
    <t xml:space="preserve">Hybrid</t>
  </si>
  <si>
    <t xml:space="preserve">Core only</t>
  </si>
  <si>
    <t xml:space="preserve">Flat rates ignore tax losses; they bracket the combined federal + state rate. The state allocation is an assumption, not company disclosure.</t>
  </si>
  <si>
    <t xml:space="preserve">Where the business is today (Q3 2026 actual, S-1/A)</t>
  </si>
  <si>
    <t xml:space="preserve">Quarterly revenue ($B)</t>
  </si>
  <si>
    <t xml:space="preserve">Operating margin</t>
  </si>
  <si>
    <t xml:space="preserve">Operating margin before stock comp</t>
  </si>
  <si>
    <t xml:space="preserve">Compute % of revenue</t>
  </si>
  <si>
    <t xml:space="preserve">H1 2026 free cash flow margin (reported, before stock comp)</t>
  </si>
  <si>
    <t xml:space="preserve">Revenue added in Q2 2026 vs Q1 ($B)</t>
  </si>
  <si>
    <t xml:space="preserve">Revenue added in Q3 2026 vs Q2 ($B)</t>
  </si>
  <si>
    <t xml:space="preserve">Committed compute vs. the forecast (S-1/A)</t>
  </si>
  <si>
    <t xml:space="preserve">Aggregate committed spend ($B)</t>
  </si>
  <si>
    <t xml:space="preserve">  expected before end 2030 ($B)</t>
  </si>
  <si>
    <t xml:space="preserve">    in the dated table, Q4 2026-2030 ($B)</t>
  </si>
  <si>
    <t xml:space="preserve">    short-term commitments ($B)</t>
  </si>
  <si>
    <t xml:space="preserve">    undated remainder, timing assumed ($B)</t>
  </si>
  <si>
    <t xml:space="preserve">Base compute spending, Q4 2026-2030 ($B)</t>
  </si>
  <si>
    <t xml:space="preserve">Committed before 2030 above the Base forecast ($B)</t>
  </si>
  <si>
    <t xml:space="preserve">Commitment and compute stresses</t>
  </si>
  <si>
    <t xml:space="preserve">S8 central</t>
  </si>
  <si>
    <t xml:space="preserve">S8E earlier</t>
  </si>
  <si>
    <t xml:space="preserve">S8L later</t>
  </si>
  <si>
    <t xml:space="preserve">S9 haircut</t>
  </si>
  <si>
    <t xml:space="preserve">S10 normalized</t>
  </si>
  <si>
    <t xml:space="preserve">Value per share, hybrid</t>
  </si>
  <si>
    <t xml:space="preserve">Value per share, core only</t>
  </si>
  <si>
    <t xml:space="preserve">Equity value, hybrid ($B)</t>
  </si>
  <si>
    <t xml:space="preserve">Compute spending Q4 2026-2030 ($B)</t>
  </si>
  <si>
    <t xml:space="preserve">2030 compute % of core revenue</t>
  </si>
  <si>
    <t xml:space="preserve">2030 core operating margin</t>
  </si>
  <si>
    <t xml:space="preserve">Exit value share of value, P/E method (hybrid)</t>
  </si>
  <si>
    <t xml:space="preserve">Funding / validity status (hybrid)</t>
  </si>
  <si>
    <t xml:space="preserve">The floor treats committed spending as compute cost in the year incurred, with no extra revenue; it is a cost stress, not a forecast. Timing matters because the 2030 margin is capitalized into the exit value.</t>
  </si>
  <si>
    <t>Commitments continue after 2030. Their annual timing and relationship to ongoing compute costs remain uncertain; the exit valuation assumes the modeled 2030 earnings and cash flow are representative.</t>
  </si>
  <si>
    <t xml:space="preserve">Change log</t>
  </si>
  <si>
    <t xml:space="preserve">Cell references point to the Base tab unless noted; the same rows exist on every case tab. Earlier versions are preserved as separate files.</t>
  </si>
  <si>
    <t xml:space="preserve">v1.3.3 (Nov 2, 2026): commitment interpretation and share bridge. No Bear, Base or Bull assumption changed</t>
  </si>
  <si>
    <t xml:space="preserve">Where</t>
  </si>
  <si>
    <t xml:space="preserve">Commitment floor rebuilt from the S-1/A dated contractual-obligations table ($320.0B; $171.6B through 2030), short-term commitments ($24.0B) and the undated pre-2030 remainder ($251.9B) allocated by floor weights</t>
  </si>
  <si>
    <t xml:space="preserve">Inputs!A69:H71; Base!C22:G22</t>
  </si>
  <si>
    <t xml:space="preserve">The floor now also applies to Q4 2026, so the amount removed before allocating 2027-2030 is the same amount charged in Q4</t>
  </si>
  <si>
    <t xml:space="preserve">Base!C10, C22</t>
  </si>
  <si>
    <t xml:space="preserve">Floor weights are now case levers; S8E (earlier) and S8L (later) timing sensitivities added</t>
  </si>
  <si>
    <t xml:space="preserve">Inputs!B109:U112</t>
  </si>
  <si>
    <t xml:space="preserve">S9 renamed 'Contingent haircut': a proportional haircut, not an exclusion of identified contingent commitments</t>
  </si>
  <si>
    <t xml:space="preserve">Inputs!T108</t>
  </si>
  <si>
    <t xml:space="preserve">Forward compute base adjustment added (default 0); S10 removes Q3 compute above 45% of Q3 revenue from the forward base, keeping reported costs and cash</t>
  </si>
  <si>
    <t xml:space="preserve">Inputs!B113:U113; Base!D9</t>
  </si>
  <si>
    <t xml:space="preserve">Share bridge: ~91M post-June grants replaced by the Q3 net change in performance RSUs (78.4M), plus ~47M service-only RSUs granted after Sep 30. Economic shares 17,903M to 17,937M</t>
  </si>
  <si>
    <t xml:space="preserve">Inputs!B11, B51:B52</t>
  </si>
  <si>
    <t xml:space="preserve">Input checks added for commitment consistency, floor weights and the floor lever</t>
  </si>
  <si>
    <t xml:space="preserve">Inputs!A129:C155</t>
  </si>
  <si>
    <t xml:space="preserve">v1.3.2 (Nov 2, 2026): S-1/A actuals updated; Q4 forecasting basis refreshed; long-term scenario assumptions unchanged</t>
  </si>
  <si>
    <t xml:space="preserve">Q3 2026 actuals replace the implied quarter: revenue $16,956M, compute $9,863M (58%, incl. $5.0B short-term compute), operating loss $(567)M</t>
  </si>
  <si>
    <t xml:space="preserve">Historicals!H5:H31</t>
  </si>
  <si>
    <t xml:space="preserve">Q4 2026 personnel, stock comp, sales and other costs use Q3 ratios (previously Q2); Q4 compute keeps its lever (Base 45%)</t>
  </si>
  <si>
    <t xml:space="preserve">Base!C10:C14</t>
  </si>
  <si>
    <t xml:space="preserve">Q3 donation-matching charge $1,960M actual; cash roll-forward starts at the Sep 30 balance ($131,845M) with a Q3 cash bridge</t>
  </si>
  <si>
    <t xml:space="preserve">Historicals!A88:C97</t>
  </si>
  <si>
    <t xml:space="preserve">Checks</t>
  </si>
  <si>
    <t xml:space="preserve">Expected</t>
  </si>
  <si>
    <t xml:space="preserve">Result</t>
  </si>
  <si>
    <t xml:space="preserve">Status</t>
  </si>
  <si>
    <t xml:space="preserve">Q3 2026 revenue (S-1/A)</t>
  </si>
  <si>
    <t xml:space="preserve">16,956</t>
  </si>
  <si>
    <t xml:space="preserve">Commitment components less aggregate ($mm)</t>
  </si>
  <si>
    <t xml:space="preserve">rounding</t>
  </si>
  <si>
    <t xml:space="preserve">S8 committed compute Q4 2026-2030 ($B)</t>
  </si>
  <si>
    <t xml:space="preserve">447.5</t>
  </si>
  <si>
    <t xml:space="preserve">S8 Q4 2026 compute equals the Q4 floor ($mm)</t>
  </si>
  <si>
    <t xml:space="preserve">equal</t>
  </si>
  <si>
    <t xml:space="preserve">Base 2027-2030 compute equals its own schedule (floor off)</t>
  </si>
  <si>
    <t xml:space="preserve">0</t>
  </si>
  <si>
    <t xml:space="preserve">S10 leaves 2026 reported compute unchanged</t>
  </si>
  <si>
    <t xml:space="preserve">Opening cash Q4 2026 equals Sep 30 balance</t>
  </si>
  <si>
    <t xml:space="preserve">131,845</t>
  </si>
  <si>
    <t xml:space="preserve">Economic shares (mm)</t>
  </si>
  <si>
    <t xml:space="preserve">17,937</t>
  </si>
  <si>
    <t xml:space="preserve">Earlier versions (summary)</t>
  </si>
  <si>
    <t xml:space="preserve">v1.3.1 (Oct 26, 2026): start-of-year payments discounted from the start of their year; funded-path interest on the funded balance; $5B operating cash buffer as the default threshold.</t>
  </si>
  <si>
    <t xml:space="preserve">v1.3: Q2 stock comp from the non-GAAP reconciliation; vintage depreciation; funding need from the lowest cash in each year; funded cash path; prepaid compute roll-forward; invalid valuations shown as 'unresolved'; S2 raises total compute 20%; extended input checks.</t>
  </si>
  <si>
    <t xml:space="preserve">v1.2: three cash measures (earnings, actual cash, economic cash); federal and state tax with NOLs; share bridge; stress tests S1-S7.</t>
  </si>
  <si>
    <t xml:space="preserve">Historical financials from the S-1 ($ millions)</t>
  </si>
  <si>
    <t xml:space="preserve">Source: Anthropic, PBC Form S-1, filed Oct 26, 2026 (SEC EDGAR CIK 2130357). Blue = reported figure. Black = formula.</t>
  </si>
  <si>
    <t xml:space="preserve">Quarterly income statement</t>
  </si>
  <si>
    <t xml:space="preserve">Q1 2025</t>
  </si>
  <si>
    <t xml:space="preserve">Q2 2025</t>
  </si>
  <si>
    <t xml:space="preserve">Q3 2025</t>
  </si>
  <si>
    <t xml:space="preserve">Q4 2025</t>
  </si>
  <si>
    <t xml:space="preserve">Q1 2026</t>
  </si>
  <si>
    <t xml:space="preserve">Q2 2026</t>
  </si>
  <si>
    <t xml:space="preserve">Q3 2026</t>
  </si>
  <si>
    <t xml:space="preserve">Revenue</t>
  </si>
  <si>
    <t xml:space="preserve">Compute and infrastructure</t>
  </si>
  <si>
    <t xml:space="preserve">Personnel (incl. stock comp)</t>
  </si>
  <si>
    <t xml:space="preserve">Bartz settlement (one-time)</t>
  </si>
  <si>
    <t xml:space="preserve">Sales, marketing, and partnerships</t>
  </si>
  <si>
    <t xml:space="preserve">Other operating and administrative</t>
  </si>
  <si>
    <t xml:space="preserve">Total operating expenses</t>
  </si>
  <si>
    <t xml:space="preserve">Operating income (loss)</t>
  </si>
  <si>
    <t xml:space="preserve">Interest income</t>
  </si>
  <si>
    <t xml:space="preserve">Change in fair value of convertible notes etc. (non-cash)</t>
  </si>
  <si>
    <t xml:space="preserve">Other income (expense), net</t>
  </si>
  <si>
    <t xml:space="preserve">Loss before income taxes</t>
  </si>
  <si>
    <t xml:space="preserve">Provision for income taxes</t>
  </si>
  <si>
    <t xml:space="preserve">Net income (loss)</t>
  </si>
  <si>
    <t xml:space="preserve">Stock-based compensation (non-GAAP reconciliation)</t>
  </si>
  <si>
    <t xml:space="preserve">Operating income before stock comp</t>
  </si>
  <si>
    <t xml:space="preserve">Quarterly ratios</t>
  </si>
  <si>
    <t xml:space="preserve">Personnel % of revenue</t>
  </si>
  <si>
    <t xml:space="preserve">Sales, marketing &amp; partnerships % of revenue</t>
  </si>
  <si>
    <t xml:space="preserve">Other opex % of revenue</t>
  </si>
  <si>
    <t xml:space="preserve">Stock comp % of revenue</t>
  </si>
  <si>
    <t xml:space="preserve">Revenue growth vs prior quarter</t>
  </si>
  <si>
    <t xml:space="preserve">Revenue added vs prior quarter ($mm)</t>
  </si>
  <si>
    <t xml:space="preserve">Check: Q1+Q2 2026 revenue less H1 2026 (should be 0)</t>
  </si>
  <si>
    <t xml:space="preserve">Check: 2025 quarters less 2025 revenue (should be 0)</t>
  </si>
  <si>
    <t xml:space="preserve">Annual &amp; half-year income statement</t>
  </si>
  <si>
    <t xml:space="preserve">2023</t>
  </si>
  <si>
    <t xml:space="preserve">2024</t>
  </si>
  <si>
    <t xml:space="preserve">2025</t>
  </si>
  <si>
    <t xml:space="preserve">H1 2025</t>
  </si>
  <si>
    <t xml:space="preserve">H1 2026</t>
  </si>
  <si>
    <t xml:space="preserve">Stock-based compensation (cash flow statement)</t>
  </si>
  <si>
    <t xml:space="preserve">Quarterly stock comp (row 19) is from the non-GAAP reconciliation; this row is from the cash flow statement. They differ slightly.</t>
  </si>
  <si>
    <t xml:space="preserve">Consumption-based revenue</t>
  </si>
  <si>
    <t xml:space="preserve">Subscription-based revenue</t>
  </si>
  <si>
    <t xml:space="preserve">Check: revenue split ties (should be 0)</t>
  </si>
  <si>
    <t xml:space="preserve">United States revenue</t>
  </si>
  <si>
    <t xml:space="preserve">International revenue</t>
  </si>
  <si>
    <t xml:space="preserve">Cloud marketplace share of revenue</t>
  </si>
  <si>
    <t xml:space="preserve">Cash flow</t>
  </si>
  <si>
    <t xml:space="preserve">Net cash from operating activities</t>
  </si>
  <si>
    <t xml:space="preserve">Purchases of property &amp; equipment</t>
  </si>
  <si>
    <t xml:space="preserve">Free cash flow (reported basis)</t>
  </si>
  <si>
    <t xml:space="preserve">Free cash flow margin (before stock comp)</t>
  </si>
  <si>
    <t xml:space="preserve">Free cash flow less stock comp</t>
  </si>
  <si>
    <t xml:space="preserve">Q3 2026 derivation</t>
  </si>
  <si>
    <t xml:space="preserve">Q4 2024 revenue ($mm)</t>
  </si>
  <si>
    <t xml:space="preserve">Q3 2026 revenue as multiple of Q4 2024</t>
  </si>
  <si>
    <t xml:space="preserve">Check: 86x statement less reported Q3 2026 revenue ($mm)</t>
  </si>
  <si>
    <t xml:space="preserve">Cash, equivalents &amp; short-term investments, Jun 30, 2026</t>
  </si>
  <si>
    <t xml:space="preserve">H1 2026 cash flow bridge ($mm)</t>
  </si>
  <si>
    <t xml:space="preserve">Source / note</t>
  </si>
  <si>
    <t xml:space="preserve">Income statement</t>
  </si>
  <si>
    <t xml:space="preserve">+ Interest income</t>
  </si>
  <si>
    <t xml:space="preserve">- Income taxes</t>
  </si>
  <si>
    <t xml:space="preserve">- Capital spending</t>
  </si>
  <si>
    <t xml:space="preserve">Cash flow statement</t>
  </si>
  <si>
    <t xml:space="preserve">Subtotal: model comparator: earnings minus capex (after stock comp)</t>
  </si>
  <si>
    <t xml:space="preserve">Basis v1.1 used for the H2 2026 cash build</t>
  </si>
  <si>
    <t xml:space="preserve">+ Stock-based compensation (non-cash)</t>
  </si>
  <si>
    <t xml:space="preserve">+ Donation-matching charge (non-cash, share-settled)</t>
  </si>
  <si>
    <t xml:space="preserve">Cash flow statement: donation matching program liability</t>
  </si>
  <si>
    <t xml:space="preserve">Subtotal: model liquidity basis (no D&amp;A, no working capital)</t>
  </si>
  <si>
    <t xml:space="preserve">Basis used for the H2 2026 cash roll-forward in v1.2</t>
  </si>
  <si>
    <t xml:space="preserve">+ Depreciation &amp; amortization</t>
  </si>
  <si>
    <t xml:space="preserve">+ Other financial items, net of non-cash portion</t>
  </si>
  <si>
    <t xml:space="preserve">Other expense of $(8,757)M less $8,720M non-cash recognition of other financial instruments</t>
  </si>
  <si>
    <t xml:space="preserve">+ Other operating adjustments</t>
  </si>
  <si>
    <t xml:space="preserve">+ Working capital changes</t>
  </si>
  <si>
    <t xml:space="preserve">Receivables, prepaids, payables, leases, deferred revenue</t>
  </si>
  <si>
    <t xml:space="preserve">Total: free cash flow (reported basis)</t>
  </si>
  <si>
    <t xml:space="preserve">Should equal Free cash flow above</t>
  </si>
  <si>
    <t xml:space="preserve">Check: bridge vs reported (should be 0)</t>
  </si>
  <si>
    <t xml:space="preserve">Memo: free cash flow less stock comp</t>
  </si>
  <si>
    <t xml:space="preserve">Reported free cash flow less stock comp; differs from row 76 by donation, D&amp;A, other items and working capital</t>
  </si>
  <si>
    <t xml:space="preserve">Q3 2026 cash flow, model liquidity basis ($mm)</t>
  </si>
  <si>
    <t xml:space="preserve">S-1/A quarterly income statement</t>
  </si>
  <si>
    <t xml:space="preserve">S-1/A cash flow: nine months $925M less H1 $482M</t>
  </si>
  <si>
    <t xml:space="preserve">S-1/A cash flow: nine months $3,255M less H1 $2,185M</t>
  </si>
  <si>
    <t xml:space="preserve">S-1/A: $1,960M non-cash charitable contribution in Q3 (inside other operating &amp; administrative)</t>
  </si>
  <si>
    <t xml:space="preserve">Subtotal: Q3 2026 on the model liquidity basis</t>
  </si>
  <si>
    <t xml:space="preserve">Same basis as the H1 bridge above (no D&amp;A, no working capital)</t>
  </si>
  <si>
    <t xml:space="preserve">Memo: nine-month 2026 net cash from operating activities</t>
  </si>
  <si>
    <t xml:space="preserve">S-1/A cash flow statement (includes working capital)</t>
  </si>
  <si>
    <t xml:space="preserve">Cash, equivalents &amp; short-term investments, Sep 30, 2026</t>
  </si>
  <si>
    <t xml:space="preserve">S-1/A balance sheet. Starting cash for the Q4 2026 roll-forward</t>
  </si>
  <si>
    <t xml:space="preserve">Assumptions</t>
  </si>
  <si>
    <t xml:space="preserve">Blue = input. Yellow = key assumption you can change. Green = link to another tab. Black = formula. Input checks are at the bottom of this tab.</t>
  </si>
  <si>
    <t xml:space="preserve">Shared settings</t>
  </si>
  <si>
    <t xml:space="preserve">Note</t>
  </si>
  <si>
    <t xml:space="preserve">Q3 2026 revenue (reported, $mm)</t>
  </si>
  <si>
    <t xml:space="preserve">S-1/A, Nov 2, 2026: $16,956M (the original S-1 said 86x Q4 2024)</t>
  </si>
  <si>
    <t xml:space="preserve">Cash, equivalents &amp; short-term investments, Jun 30, 2026 ($mm)</t>
  </si>
  <si>
    <t xml:space="preserve">S-1 balance sheet</t>
  </si>
  <si>
    <t xml:space="preserve">Initial Public Benefit Fund issuance (shares)</t>
  </si>
  <si>
    <t xml:space="preserve">S-1: 846,840,960 Class N shares contributed to the Anthropic Public Benefit Fund (Oct 2026)</t>
  </si>
  <si>
    <t xml:space="preserve">Issuance as % of June 30 fully diluted shares</t>
  </si>
  <si>
    <t xml:space="preserve">S-1: 5% of fully diluted shares as of June 30, 2026, assuming full conversion of the Amazon notes</t>
  </si>
  <si>
    <t xml:space="preserve">June 30, 2026 fully diluted shares (mm)</t>
  </si>
  <si>
    <t xml:space="preserve">Derived. Assumes this count includes options and RSUs outstanding at June 30 (definition not stated in the S-1). Excludes the Fund issuance</t>
  </si>
  <si>
    <t xml:space="preserve">Count the Fund issuance in economic shares? (1 = yes)</t>
  </si>
  <si>
    <t xml:space="preserve">Held by a wholly owned subsidiary, so not outstanding for accounting; may be donated or sold, so counted as economic dilution</t>
  </si>
  <si>
    <t xml:space="preserve">RSUs added after June 30, 2026, net (mm)</t>
  </si>
  <si>
    <t xml:space="preserve">Q3 net change in performance-condition RSUs + service-only RSUs granted after Sep 30 (see rows below). Partial overlap: their future expense is also inside forecast stock comp</t>
  </si>
  <si>
    <t xml:space="preserve">Count post-June RSUs in economic shares? (1 = yes)</t>
  </si>
  <si>
    <t xml:space="preserve">Counted as granted awards. Partial overlap: their future expense is also inside forecast stock comp</t>
  </si>
  <si>
    <t xml:space="preserve">October 2026 donation-matching shares (mm)</t>
  </si>
  <si>
    <t xml:space="preserve">S-1 Note 17: ~28.0M Class N shares issued to settle the Q3 2026 donation-matching obligation</t>
  </si>
  <si>
    <t xml:space="preserve">RSU shares withheld for taxes at IPO (mm)</t>
  </si>
  <si>
    <t xml:space="preserve">Blank in S-1. Net settlement reduces shares but costs cash (see next rows)</t>
  </si>
  <si>
    <t xml:space="preserve">Primary IPO proceeds to company ($mm)</t>
  </si>
  <si>
    <t xml:space="preserve">Blank in S-1. Update from price-range amendment</t>
  </si>
  <si>
    <t xml:space="preserve">New shares issued in IPO (mm)</t>
  </si>
  <si>
    <t xml:space="preserve">Cash paid for RSU tax withholding at IPO ($mm)</t>
  </si>
  <si>
    <t xml:space="preserve">Blank in S-1. Paid from IPO proceeds per S-1 use of proceeds; separate from the tax deduction</t>
  </si>
  <si>
    <t xml:space="preserve">Economic shares at valuation date (mm)</t>
  </si>
  <si>
    <t xml:space="preserve">June fully diluted + Fund issuance + post-June RSUs + donation shares - shares withheld + IPO shares</t>
  </si>
  <si>
    <t xml:space="preserve">Discount rate</t>
  </si>
  <si>
    <t xml:space="preserve">Annual return required on the equity</t>
  </si>
  <si>
    <t xml:space="preserve">Interest yield on cash</t>
  </si>
  <si>
    <t xml:space="preserve">Q2 2026 actual ~2.3% a year. Applied to opening cash each year; no interest on a negative balance</t>
  </si>
  <si>
    <t xml:space="preserve">Weight on P/E method (rest on cash flow method)</t>
  </si>
  <si>
    <t xml:space="preserve">Both methods use the same forecasts, so the blend is not independent confirmation</t>
  </si>
  <si>
    <t xml:space="preserve">Reference IPO valuation ($mm)</t>
  </si>
  <si>
    <t xml:space="preserve">Low end of reported $1.5T-$2T range; sets the Public Benefit step starting price</t>
  </si>
  <si>
    <t xml:space="preserve">Reference IPO price per share</t>
  </si>
  <si>
    <t xml:space="preserve">Derived on economic shares</t>
  </si>
  <si>
    <t xml:space="preserve">Board issues maximum Public Benefit shares? (1 = yes)</t>
  </si>
  <si>
    <t xml:space="preserve">S-1: discretionary. Model assumes maximum issuance (conservative)</t>
  </si>
  <si>
    <t xml:space="preserve">Public Benefit issuance per step (% of shares)</t>
  </si>
  <si>
    <t xml:space="preserve">S-1: up to an additional 2% each time the price rises 50% above the prior step</t>
  </si>
  <si>
    <t xml:space="preserve">Share price rise per step</t>
  </si>
  <si>
    <t xml:space="preserve">S-1: a step requires a close above the threshold on 90 of 120 trading days and a 10-day average above it</t>
  </si>
  <si>
    <t xml:space="preserve">Global knowledge-work value pool ($mm)</t>
  </si>
  <si>
    <t xml:space="preserve">S-1: knowledge work was more than $40 trillion of economic value in 2025. Sanity check only</t>
  </si>
  <si>
    <t xml:space="preserve">Target valuation for the $2T test ($mm)</t>
  </si>
  <si>
    <t xml:space="preserve">Used on Summary</t>
  </si>
  <si>
    <t xml:space="preserve">Operating cash buffer (shortfall threshold, $mm)</t>
  </si>
  <si>
    <t xml:space="preserve">Assumed buffer; cash below it is a shortfall. Separate from the $5B liquidity covenant, whose definition may differ from cash. $0 shown as a sensitivity</t>
  </si>
  <si>
    <t xml:space="preserve">Equity issuance discount if funding is needed</t>
  </si>
  <si>
    <t xml:space="preserve">Illustrative modeling assumption, not observed terms. 0% and 30% shown alongside</t>
  </si>
  <si>
    <t xml:space="preserve">Equity issuance fees</t>
  </si>
  <si>
    <t xml:space="preserve">Illustrative</t>
  </si>
  <si>
    <t xml:space="preserve">Depreciation life of owned capacity (years)</t>
  </si>
  <si>
    <t xml:space="preserve">Straight-line depreciation on capital spending from 2027</t>
  </si>
  <si>
    <t xml:space="preserve">Working capital change, % of revenue increase</t>
  </si>
  <si>
    <t xml:space="preserve">H1 2026 working capital was a $1.17B inflow; default 0</t>
  </si>
  <si>
    <t xml:space="preserve">Value-share days to collect</t>
  </si>
  <si>
    <t xml:space="preserve">Default 0 reproduces v1.1. Raising it delays value-share cash</t>
  </si>
  <si>
    <t xml:space="preserve">Value-share capex basis (1, 2 or 3)</t>
  </si>
  <si>
    <t xml:space="preserve">1 = company capex rate x net new revenue (v1.1 method); 2 = % of gross value-share revenue; 3 = none (capacity bought via extra-compute charge)</t>
  </si>
  <si>
    <t xml:space="preserve">Value-share capex % of gross value-share revenue (basis 2)</t>
  </si>
  <si>
    <t xml:space="preserve">Used only when basis = 2</t>
  </si>
  <si>
    <t xml:space="preserve">Q3 2026 donation-matching charge ($mm, non-cash)</t>
  </si>
  <si>
    <t xml:space="preserve">S-1/A: $1,960M non-cash charitable contribution, inside other operating &amp; administrative; settled in shares in October 2026</t>
  </si>
  <si>
    <t xml:space="preserve">Minimum-liquidity covenant ($mm)</t>
  </si>
  <si>
    <t xml:space="preserve">S-1: A&amp;R Credit Agreement requires liquidity of at least $5.0B at each quarter end from Q4 2026. 'Liquidity' is not defined in the S-1; cash is used as a proxy and may differ</t>
  </si>
  <si>
    <t xml:space="preserve">Share of compute spending eligible for prepaid credits</t>
  </si>
  <si>
    <t xml:space="preserve">Prepaid credits cannot exceed eligible compute charges in a year; unused balance carries forward</t>
  </si>
  <si>
    <t xml:space="preserve">Years over which prepaid credits are scheduled (from 2028)</t>
  </si>
  <si>
    <t xml:space="preserve">Scheduled credits accumulate; actual credits are capped by eligible charges and the remaining balance</t>
  </si>
  <si>
    <t xml:space="preserve">Cash, equivalents &amp; short-term investments, Sep 30, 2026 ($mm)</t>
  </si>
  <si>
    <t xml:space="preserve">S-1/A balance sheet. The cash roll-forward starts here (Q4 2026 flows only)</t>
  </si>
  <si>
    <t xml:space="preserve">Aggregate committed spend ($mm)</t>
  </si>
  <si>
    <t xml:space="preserve">S-1/A: ~$895.4B of purchase commitments and leases (incl. not yet commenced), substantially all compute and infrastructure</t>
  </si>
  <si>
    <t xml:space="preserve">Committed spend expected before Dec 31, 2030 ($mm)</t>
  </si>
  <si>
    <t xml:space="preserve">S-1/A: ~$447.5B; substantially all of the rest falls in 2031-2045</t>
  </si>
  <si>
    <t xml:space="preserve">Committed spend due in the 12 months after Sep 30, 2026 ($mm)</t>
  </si>
  <si>
    <t xml:space="preserve">S-1/A: ~$69.8B</t>
  </si>
  <si>
    <t xml:space="preserve">Commitments subject to termination rights or contingencies ($mm)</t>
  </si>
  <si>
    <t xml:space="preserve">S-1/A as reported: ~$213.8B. Used by stress S9</t>
  </si>
  <si>
    <t xml:space="preserve">Share of short-term commitments falling in Q4 2026</t>
  </si>
  <si>
    <t xml:space="preserve">Short-term commitments run one year or less; an even spread over the 12 months is assumed</t>
  </si>
  <si>
    <t xml:space="preserve">Short-term commitments ($mm)</t>
  </si>
  <si>
    <t xml:space="preserve">S-1/A: $17.4B cancelable within a year or with terms of one year or less at Sep 30, plus $6.6B short-term agreements entered after Sep 30. Not in the dated table</t>
  </si>
  <si>
    <t xml:space="preserve">Leases executed but not yet commenced ($mm)</t>
  </si>
  <si>
    <t xml:space="preserve">S-1/A: commence mainly 2026-2028; terms under 1 to 20 years, ~10 years on average. Not in the dated table</t>
  </si>
  <si>
    <t xml:space="preserve">Commitments entered after Sep 30, 2026 ($mm)</t>
  </si>
  <si>
    <t xml:space="preserve">S-1/A: mainly data center leases and hosting agreements. Not in the dated table</t>
  </si>
  <si>
    <t xml:space="preserve">Contingent amount within the next 12 months ($mm)</t>
  </si>
  <si>
    <t xml:space="preserve">S-1/A: of the $69.8B due in the next 12 months, ~$4.3B is subject to termination rights or conditions</t>
  </si>
  <si>
    <t xml:space="preserve">Q3 2026 net change in performance-condition RSUs (mm)</t>
  </si>
  <si>
    <t xml:space="preserve">Performance RSUs outstanding: 1,049.6M at Jun 30 (S-1) and 1,128.0M at Sep 30 (S-1/A). Reflects the ~91M granted after June 30 less ~12.6M implied forfeitures</t>
  </si>
  <si>
    <t xml:space="preserve">Service-only RSUs granted after Sep 30, 2026 (mm)</t>
  </si>
  <si>
    <t xml:space="preserve">S-1/A Note 17: ~47M RSUs with a service condition only. Different terms from the ~91M, so treated as additional</t>
  </si>
  <si>
    <t xml:space="preserve">Taxes</t>
  </si>
  <si>
    <t xml:space="preserve">Federal tax rate</t>
  </si>
  <si>
    <t xml:space="preserve">US federal statutory rate</t>
  </si>
  <si>
    <t xml:space="preserve">Federal NOL carryforward at Dec 31, 2025 ($mm)</t>
  </si>
  <si>
    <t xml:space="preserve">S-1 income tax note: $8.2B, does not expire</t>
  </si>
  <si>
    <t xml:space="preserve">Federal NOL usage limit (% of taxable income)</t>
  </si>
  <si>
    <t xml:space="preserve">Post-2017 federal NOLs offset up to 80% of taxable income</t>
  </si>
  <si>
    <t xml:space="preserve">Share of taxable income subject to state tax</t>
  </si>
  <si>
    <t xml:space="preserve">Assumption. Proxy: US share of H1 2026 revenue (72%). Not company disclosure</t>
  </si>
  <si>
    <t xml:space="preserve">Blended state tax rate on that income</t>
  </si>
  <si>
    <t xml:space="preserve">Assumption, not company disclosure. California's 8.84% is not applied to all income</t>
  </si>
  <si>
    <t xml:space="preserve">State NOL carryforwards at Dec 31, 2025 ($mm)</t>
  </si>
  <si>
    <t xml:space="preserve">S-1 income tax note: $4.2B, begin to expire in 2033</t>
  </si>
  <si>
    <t xml:space="preserve">State NOLs suspended in 2026? (1 = yes)</t>
  </si>
  <si>
    <t xml:space="preserve">California suspended NOL deductions for 2024-2026 above $1M income; applied to all state NOLs for simplicity</t>
  </si>
  <si>
    <t xml:space="preserve">IPO-related RSU tax deduction ($mm)</t>
  </si>
  <si>
    <t xml:space="preserve">Likely large but not quantified in the S-1. Default 0</t>
  </si>
  <si>
    <t xml:space="preserve">Year of RSU deduction</t>
  </si>
  <si>
    <t xml:space="preserve">Applies to federal and state taxable income in that year</t>
  </si>
  <si>
    <t xml:space="preserve">Year-based settings</t>
  </si>
  <si>
    <t xml:space="preserve">2026</t>
  </si>
  <si>
    <t xml:space="preserve">2027</t>
  </si>
  <si>
    <t xml:space="preserve">2028</t>
  </si>
  <si>
    <t xml:space="preserve">2029</t>
  </si>
  <si>
    <t xml:space="preserve">2030</t>
  </si>
  <si>
    <t xml:space="preserve">Legacy v1.1 tax rate ramp (tax method 0 only)</t>
  </si>
  <si>
    <t xml:space="preserve">Capital spending % of core revenue</t>
  </si>
  <si>
    <t xml:space="preserve">Other taxable income adjustments ($mm)</t>
  </si>
  <si>
    <t xml:space="preserve">Contractual obligations table: payments due ($mm; 2026 = Q4; G = after 2030)</t>
  </si>
  <si>
    <t xml:space="preserve">S-1/A p.174, as of Sep 30, 2026: operating leases, finance leases and purchase commitments ($319,993M). Excludes short-term, not-yet-commenced and post-Sep 30 commitments</t>
  </si>
  <si>
    <t xml:space="preserve">Committed before 2030 but not in the dated table ($mm)</t>
  </si>
  <si>
    <t xml:space="preserve">Mostly leases not yet commenced and post-Sep 30 commitments. No complete annual schedule is disclosed; timing comes from the floor weights on each case</t>
  </si>
  <si>
    <t xml:space="preserve">Check: dated table + short-term + not commenced + post-Sep 30 less aggregate ($mm)</t>
  </si>
  <si>
    <t xml:space="preserve">Small residual from rounding in the filing</t>
  </si>
  <si>
    <t xml:space="preserve">Capex: H1 2026 was 3% of revenue; the S-1 says Anthropic plans its own data centers. Taxable income here is a proxy (operating income + interest + adjustments - RSU deduction), not a tax return.</t>
  </si>
  <si>
    <t xml:space="preserve">Scenario levers</t>
  </si>
  <si>
    <t xml:space="preserve">Why</t>
  </si>
  <si>
    <t xml:space="preserve">S1 Flat revenue</t>
  </si>
  <si>
    <t xml:space="preserve">S2 Compute +20%</t>
  </si>
  <si>
    <t xml:space="preserve">S3 Half growth</t>
  </si>
  <si>
    <t xml:space="preserve">S4 Lower multiples</t>
  </si>
  <si>
    <t xml:space="preserve">S5 Discount +2pts</t>
  </si>
  <si>
    <t xml:space="preserve">S6 Combined</t>
  </si>
  <si>
    <t xml:space="preserve">T21 Tax 21%</t>
  </si>
  <si>
    <t xml:space="preserve">T25 Tax 25%</t>
  </si>
  <si>
    <t xml:space="preserve">T28 Tax 28%</t>
  </si>
  <si>
    <t xml:space="preserve">S7 Funding test</t>
  </si>
  <si>
    <t xml:space="preserve">S8 Commitment floor</t>
  </si>
  <si>
    <t xml:space="preserve">S8E Floor, earlier timing</t>
  </si>
  <si>
    <t xml:space="preserve">S8L Floor, later timing</t>
  </si>
  <si>
    <t xml:space="preserve">S9 Contingent haircut</t>
  </si>
  <si>
    <t xml:space="preserve">S10 Compute base normalized</t>
  </si>
  <si>
    <t xml:space="preserve">Q4 2026 revenue ($mm)</t>
  </si>
  <si>
    <t xml:space="preserve">Q3 actual $16.96B. Bear +9%, base +24%, bull +42% vs Q3. Unchanged from v1.3.1</t>
  </si>
  <si>
    <t xml:space="preserve">Subscription share of revenue (2027-2030)</t>
  </si>
  <si>
    <t xml:space="preserve">H1 2026 actual: 19.8%</t>
  </si>
  <si>
    <t xml:space="preserve">Revenue growth 2027</t>
  </si>
  <si>
    <t xml:space="preserve">Full-year growth</t>
  </si>
  <si>
    <t xml:space="preserve">Revenue growth 2028</t>
  </si>
  <si>
    <t xml:space="preserve">Revenue growth 2029</t>
  </si>
  <si>
    <t xml:space="preserve">Revenue growth 2030</t>
  </si>
  <si>
    <t xml:space="preserve">Compute % of revenue, Q4 2026</t>
  </si>
  <si>
    <t xml:space="preserve">Q3 2026 actual: 58% (incl. $5.0B short-term compute); Q2: 48%. Unchanged from v1.3.1. Sets the 2026 compute base that later growth compounds on</t>
  </si>
  <si>
    <t xml:space="preserve">Compute spend growth 2027</t>
  </si>
  <si>
    <t xml:space="preserve">Compute is bought 12-18 months ahead and largely fixed; it grows on its own schedule. Note: Bear grows compute at the same rate as revenue</t>
  </si>
  <si>
    <t xml:space="preserve">Compute spend growth 2028</t>
  </si>
  <si>
    <t xml:space="preserve">Compute spend growth 2029</t>
  </si>
  <si>
    <t xml:space="preserve">Compute spend growth 2030</t>
  </si>
  <si>
    <t xml:space="preserve">Personnel % of revenue 2027</t>
  </si>
  <si>
    <t xml:space="preserve">Q2 2026 actual: 16%</t>
  </si>
  <si>
    <t xml:space="preserve">Personnel % of revenue 2028</t>
  </si>
  <si>
    <t xml:space="preserve">Personnel % of revenue 2029</t>
  </si>
  <si>
    <t xml:space="preserve">Personnel % of revenue 2030</t>
  </si>
  <si>
    <t xml:space="preserve">Stock comp % of revenue (inside personnel) 2027</t>
  </si>
  <si>
    <t xml:space="preserve">Q2 2026 actual: 11%</t>
  </si>
  <si>
    <t xml:space="preserve">Stock comp % of revenue (inside personnel) 2028</t>
  </si>
  <si>
    <t xml:space="preserve">Stock comp % of revenue (inside personnel) 2029</t>
  </si>
  <si>
    <t xml:space="preserve">Stock comp % of revenue (inside personnel) 2030</t>
  </si>
  <si>
    <t xml:space="preserve">Sales, marketing &amp; partner fees % of revenue 2027</t>
  </si>
  <si>
    <t xml:space="preserve">Q2 2026 actual: 18%</t>
  </si>
  <si>
    <t xml:space="preserve">Sales, marketing &amp; partner fees % of revenue 2028</t>
  </si>
  <si>
    <t xml:space="preserve">Sales, marketing &amp; partner fees % of revenue 2029</t>
  </si>
  <si>
    <t xml:space="preserve">Sales, marketing &amp; partner fees % of revenue 2030</t>
  </si>
  <si>
    <t xml:space="preserve">Other opex % of revenue 2027</t>
  </si>
  <si>
    <t xml:space="preserve">Q2 2026 actual: 9%</t>
  </si>
  <si>
    <t xml:space="preserve">Other opex % of revenue 2028</t>
  </si>
  <si>
    <t xml:space="preserve">Other opex % of revenue 2029</t>
  </si>
  <si>
    <t xml:space="preserve">Other opex % of revenue 2030</t>
  </si>
  <si>
    <t xml:space="preserve">Exit P/E on 2030 after-tax operating earnings</t>
  </si>
  <si>
    <t xml:space="preserve">Earnings after stock comp, depreciation and tax</t>
  </si>
  <si>
    <t xml:space="preserve">Exit multiple of 2030 economic cash flow</t>
  </si>
  <si>
    <t xml:space="preserve">Used in the cash flow method</t>
  </si>
  <si>
    <t xml:space="preserve">Discount rate add-on (points)</t>
  </si>
  <si>
    <t xml:space="preserve">Added to the shared discount rate</t>
  </si>
  <si>
    <t xml:space="preserve">Tax method (0 = v1.1 ramp, 1 = NOL + state, 2 = flat rate)</t>
  </si>
  <si>
    <t xml:space="preserve">Method 1 is the v1.2 default</t>
  </si>
  <si>
    <t xml:space="preserve">Flat combined tax rate (method 2 only)</t>
  </si>
  <si>
    <t xml:space="preserve">Used only when tax method = 2</t>
  </si>
  <si>
    <t xml:space="preserve">Compute prepayment paid at the start of 2027 ($mm)</t>
  </si>
  <si>
    <t xml:space="preserve">Cash paid ahead of use (S-1 shows large hosting prepayments). S7 uses $200B as an illustrative funding test; credits follow the prepaid roll-forward</t>
  </si>
  <si>
    <t xml:space="preserve">Commitment floor: share of committed compute enforced as minimum spending</t>
  </si>
  <si>
    <t xml:space="preserve">Off in Bear/Base/Bull. S8, S8E, S8L = 100%; S9 = proportional contingent haircut</t>
  </si>
  <si>
    <t xml:space="preserve">Commitment floor: share of undated pre-2030 commitments falling in 2027</t>
  </si>
  <si>
    <t xml:space="preserve">Assumption (no complete annual schedule): leases commence 2026-2028 and run ~10 years. Must sum to 100%. S8E and S8L test earlier and later timing</t>
  </si>
  <si>
    <t xml:space="preserve">Commitment floor: share of undated pre-2030 commitments falling in 2028</t>
  </si>
  <si>
    <t xml:space="preserve">Commitment floor: share of undated pre-2030 commitments falling in 2029</t>
  </si>
  <si>
    <t xml:space="preserve">Commitment floor: share of undated pre-2030 commitments falling in 2030</t>
  </si>
  <si>
    <t xml:space="preserve">Forward compute base adjustment ($mm, hypothetical)</t>
  </si>
  <si>
    <t xml:space="preserve">Reduces the 2026 base that later compute growth compounds on; reported 2026 costs and cash are unchanged. S10 removes Q3 compute above 45% of Q3 revenue</t>
  </si>
  <si>
    <t xml:space="preserve">Scenario probability</t>
  </si>
  <si>
    <t xml:space="preserve">Must sum to 100%</t>
  </si>
  <si>
    <t xml:space="preserve">Probability check (should be 100%)</t>
  </si>
  <si>
    <t xml:space="preserve">Value-share line (hypothetical)</t>
  </si>
  <si>
    <t xml:space="preserve">Share of core revenue base under value-share contracts 2027</t>
  </si>
  <si>
    <t xml:space="preserve">Hypothetical. Seeds in S-1: Ode with Anthropic, drug discovery partners. No such revenue line is disclosed</t>
  </si>
  <si>
    <t xml:space="preserve">Share of core revenue base under value-share contracts 2028</t>
  </si>
  <si>
    <t xml:space="preserve">Share of core revenue base under value-share contracts 2029</t>
  </si>
  <si>
    <t xml:space="preserve">Share of core revenue base under value-share contracts 2030</t>
  </si>
  <si>
    <t xml:space="preserve">Economic value created per $1 of Claude spend</t>
  </si>
  <si>
    <t xml:space="preserve">Hypothetical. Measurable partner gain per $1 it would have paid in tokens</t>
  </si>
  <si>
    <t xml:space="preserve">Anthropic's cut of value created</t>
  </si>
  <si>
    <t xml:space="preserve">Hypothetical royalty / revenue share / success fee</t>
  </si>
  <si>
    <t xml:space="preserve">Token revenue given up on those customers</t>
  </si>
  <si>
    <t xml:space="preserve">Share of their per-token spend waived in exchange for the cut</t>
  </si>
  <si>
    <t xml:space="preserve">Delivery cost % of value-share revenue</t>
  </si>
  <si>
    <t xml:space="preserve">Embedded engineers, partner operations, measuring and auditing results</t>
  </si>
  <si>
    <t xml:space="preserve">Extra compute % of value-share revenue</t>
  </si>
  <si>
    <t xml:space="preserve">Dedicated capacity for partnered deployments</t>
  </si>
  <si>
    <t xml:space="preserve">Selling, partner fees &amp; overhead % of value-share revenue</t>
  </si>
  <si>
    <t xml:space="preserve">Deal-making, cloud partner fees, legal and overhead</t>
  </si>
  <si>
    <t xml:space="preserve">Input checks</t>
  </si>
  <si>
    <t xml:space="preserve">Problems</t>
  </si>
  <si>
    <t xml:space="preserve">What is checked</t>
  </si>
  <si>
    <t xml:space="preserve">Probabilities sum to 100%</t>
  </si>
  <si>
    <t xml:space="preserve">Bear + Base + Bull probability</t>
  </si>
  <si>
    <t xml:space="preserve">Probabilities between 0 and 1</t>
  </si>
  <si>
    <t xml:space="preserve">Value-share adoption between 0% and 100%</t>
  </si>
  <si>
    <t xml:space="preserve">All years, Bear/Base/Bull</t>
  </si>
  <si>
    <t xml:space="preserve">Cut and token give-up between 0% and 100%</t>
  </si>
  <si>
    <t xml:space="preserve">Value-share cost shares sum below 100%</t>
  </si>
  <si>
    <t xml:space="preserve">Delivery + extra compute + overhead</t>
  </si>
  <si>
    <t xml:space="preserve">Multiples positive</t>
  </si>
  <si>
    <t xml:space="preserve">All cases</t>
  </si>
  <si>
    <t xml:space="preserve">Discount rate positive</t>
  </si>
  <si>
    <t xml:space="preserve">P/E weight between 0 and 1</t>
  </si>
  <si>
    <t xml:space="preserve">Issuance discount and fees between 0% and 99%</t>
  </si>
  <si>
    <t xml:space="preserve">Tax inputs between 0% and 100%</t>
  </si>
  <si>
    <t xml:space="preserve">Tax method is 0, 1 or 2</t>
  </si>
  <si>
    <t xml:space="preserve">Value-share capex basis is 1, 2 or 3</t>
  </si>
  <si>
    <t xml:space="preserve">Shares positive</t>
  </si>
  <si>
    <t xml:space="preserve">Depreciation life is a whole number of at least 1 year</t>
  </si>
  <si>
    <t xml:space="preserve">Vintage depreciation needs whole years</t>
  </si>
  <si>
    <t xml:space="preserve">Cost ratios not negative</t>
  </si>
  <si>
    <t xml:space="preserve">Compute, personnel, stock comp, sales and other cost ratios (all cases)</t>
  </si>
  <si>
    <t xml:space="preserve">Stock comp not above personnel</t>
  </si>
  <si>
    <t xml:space="preserve">Stock comp sits inside personnel</t>
  </si>
  <si>
    <t xml:space="preserve">Growth rates above -100%</t>
  </si>
  <si>
    <t xml:space="preserve">Revenue and compute growth; negative growth is allowed</t>
  </si>
  <si>
    <t xml:space="preserve">Q4 revenue, prepayment and subscription share valid</t>
  </si>
  <si>
    <t xml:space="preserve">Value-share cost and value inputs not negative</t>
  </si>
  <si>
    <t xml:space="preserve">Capex ratios and value-share capex not negative</t>
  </si>
  <si>
    <t xml:space="preserve">Prepaid coverage 0-100%, schedule at least 1 year, collection days not negative</t>
  </si>
  <si>
    <t xml:space="preserve">Commitment inputs consistent</t>
  </si>
  <si>
    <t xml:space="preserve">Contingent within totals; pre-2030 within aggregate; undated remainder not negative; components reconcile</t>
  </si>
  <si>
    <t xml:space="preserve">Floor weights sum to 100% and lie within 0-100%</t>
  </si>
  <si>
    <t xml:space="preserve">Floor lever within 0-100%</t>
  </si>
  <si>
    <t xml:space="preserve">Share inputs valid</t>
  </si>
  <si>
    <t xml:space="preserve">Total problems</t>
  </si>
  <si>
    <t xml:space="preserve">Bear — projections, cash and valuation ($ millions except per share)</t>
  </si>
  <si>
    <t xml:space="preserve">2026E = H1 2026 actual + Q3 2026 actual (S-1/A) + assumed Q4. Compute is forecast as cash spending (hosting, leases and owned capacity all treated as paid when expensed); the S-1 gives no payment schedule.</t>
  </si>
  <si>
    <t xml:space="preserve">Core business: income statement</t>
  </si>
  <si>
    <t xml:space="preserve">2025A</t>
  </si>
  <si>
    <t xml:space="preserve">2026E</t>
  </si>
  <si>
    <t xml:space="preserve">2027E</t>
  </si>
  <si>
    <t xml:space="preserve">2028E</t>
  </si>
  <si>
    <t xml:space="preserve">2029E</t>
  </si>
  <si>
    <t xml:space="preserve">2030E</t>
  </si>
  <si>
    <t xml:space="preserve">  Growth</t>
  </si>
  <si>
    <t xml:space="preserve">  Subscription revenue</t>
  </si>
  <si>
    <t xml:space="preserve">  Consumption revenue</t>
  </si>
  <si>
    <t xml:space="preserve">  Compute on its own growth schedule (before any commitment floor)</t>
  </si>
  <si>
    <t xml:space="preserve">  of which stock comp</t>
  </si>
  <si>
    <t xml:space="preserve">Sales, marketing &amp; partner fees</t>
  </si>
  <si>
    <t xml:space="preserve">Other operating &amp; administrative</t>
  </si>
  <si>
    <t xml:space="preserve">One-time items (2025 Bartz settlement; 2026 Q3 donation-matching charge)</t>
  </si>
  <si>
    <t xml:space="preserve">Operating income before depreciation of new owned capacity</t>
  </si>
  <si>
    <t xml:space="preserve">  Margin</t>
  </si>
  <si>
    <t xml:space="preserve">  Compute % of revenue</t>
  </si>
  <si>
    <t xml:space="preserve">Non-cash donation-matching charges (incl. in costs above)</t>
  </si>
  <si>
    <t xml:space="preserve">Discount factor to end 2026</t>
  </si>
  <si>
    <t xml:space="preserve">Committed compute floor ($mm; dated table + short-term + undated remainder by floor weights; 2026 = Q4)</t>
  </si>
  <si>
    <t xml:space="preserve">Third business line: value-share partnerships (hypothetical)</t>
  </si>
  <si>
    <t xml:space="preserve">Share of core revenue base under value-share</t>
  </si>
  <si>
    <t xml:space="preserve">Revenue base moved to value-share</t>
  </si>
  <si>
    <t xml:space="preserve">Value created per $1 of Claude spend</t>
  </si>
  <si>
    <t xml:space="preserve">Economic value created for partners</t>
  </si>
  <si>
    <t xml:space="preserve">Anthropic's cut</t>
  </si>
  <si>
    <t xml:space="preserve">Value-share revenue (gross)</t>
  </si>
  <si>
    <t xml:space="preserve">Token revenue given up</t>
  </si>
  <si>
    <t xml:space="preserve">Net new revenue</t>
  </si>
  <si>
    <t xml:space="preserve">Delivery cost</t>
  </si>
  <si>
    <t xml:space="preserve">Extra compute</t>
  </si>
  <si>
    <t xml:space="preserve">Selling, partner fees &amp; overhead</t>
  </si>
  <si>
    <t xml:space="preserve">Value-share operating contribution</t>
  </si>
  <si>
    <t xml:space="preserve">Value-share capital spending (per selected basis)</t>
  </si>
  <si>
    <t xml:space="preserve">Value-share collection timing (working capital)</t>
  </si>
  <si>
    <t xml:space="preserve">Prepaid compute roll-forward (cash paid ahead of use)</t>
  </si>
  <si>
    <t xml:space="preserve">Prepaid balance, opening</t>
  </si>
  <si>
    <t xml:space="preserve">Prepayment paid (start of year)</t>
  </si>
  <si>
    <t xml:space="preserve">Scheduled credits available (cumulative scheduled less used)</t>
  </si>
  <si>
    <t xml:space="preserve">Eligible compute charges this year</t>
  </si>
  <si>
    <t xml:space="preserve">Credits used (capped by balance, schedule and eligible charges)</t>
  </si>
  <si>
    <t xml:space="preserve">Prepaid balance, closing</t>
  </si>
  <si>
    <t xml:space="preserve">Core business (tokens + subscriptions): earnings, taxes, cash</t>
  </si>
  <si>
    <t xml:space="preserve">Capital spending</t>
  </si>
  <si>
    <t xml:space="preserve">Depreciation of owned capacity bought from 2027</t>
  </si>
  <si>
    <t xml:space="preserve">Operating income (earnings basis, after stock comp)</t>
  </si>
  <si>
    <t xml:space="preserve">  Operating margin</t>
  </si>
  <si>
    <t xml:space="preserve">Interest income (on opening cash)</t>
  </si>
  <si>
    <t xml:space="preserve">Other taxable income adjustments</t>
  </si>
  <si>
    <t xml:space="preserve">IPO RSU tax deduction</t>
  </si>
  <si>
    <t xml:space="preserve">Taxable income proxy</t>
  </si>
  <si>
    <t xml:space="preserve">  State taxable base (apportioned)</t>
  </si>
  <si>
    <t xml:space="preserve">  State NOL, opening</t>
  </si>
  <si>
    <t xml:space="preserve">  State NOL used</t>
  </si>
  <si>
    <t xml:space="preserve">  State NOL, closing</t>
  </si>
  <si>
    <t xml:space="preserve">  State tax</t>
  </si>
  <si>
    <t xml:space="preserve">  Federal taxable income before NOL (after state tax)</t>
  </si>
  <si>
    <t xml:space="preserve">  Federal NOL, opening</t>
  </si>
  <si>
    <t xml:space="preserve">  Federal NOL used (80% limit)</t>
  </si>
  <si>
    <t xml:space="preserve">  Federal NOL, closing</t>
  </si>
  <si>
    <t xml:space="preserve">  Federal tax</t>
  </si>
  <si>
    <t xml:space="preserve">Cash taxes (selected method)</t>
  </si>
  <si>
    <t xml:space="preserve">  Effective tax rate on taxable income</t>
  </si>
  <si>
    <t xml:space="preserve">Net income excl. non-cash fair value items</t>
  </si>
  <si>
    <t xml:space="preserve">Non-cash stock comp &amp; donation charges (added back for liquidity)</t>
  </si>
  <si>
    <t xml:space="preserve">Working capital</t>
  </si>
  <si>
    <t xml:space="preserve">Compute prepayment timing (non-recurring; excluded from exit value)</t>
  </si>
  <si>
    <t xml:space="preserve">Actual cash flow (liquidity basis)</t>
  </si>
  <si>
    <t xml:space="preserve">Economic operating cash flow (valuation basis: after stock comp, excl. interest)</t>
  </si>
  <si>
    <t xml:space="preserve">  Economic cash flow margin</t>
  </si>
  <si>
    <t xml:space="preserve">Cash roll-forward</t>
  </si>
  <si>
    <t xml:space="preserve">Q4 2026</t>
  </si>
  <si>
    <t xml:space="preserve">Opening cash</t>
  </si>
  <si>
    <t xml:space="preserve">  of which paid at start of year (prepayment)</t>
  </si>
  <si>
    <t xml:space="preserve">Cash flow in period (Q4 only for 2026)</t>
  </si>
  <si>
    <t xml:space="preserve">2026: full-year cash flow less H1 and Q3 actual on the same basis</t>
  </si>
  <si>
    <t xml:space="preserve">RSU tax withholding paid</t>
  </si>
  <si>
    <t xml:space="preserve">Primary IPO proceeds</t>
  </si>
  <si>
    <t xml:space="preserve">Closing cash</t>
  </si>
  <si>
    <t xml:space="preserve">Lowest cash in the year (start-of-year payments or year end)</t>
  </si>
  <si>
    <t xml:space="preserve">  Lowest cash above the shortfall threshold</t>
  </si>
  <si>
    <t xml:space="preserve">  Year-end cash vs $5B covenant (cash proxy)</t>
  </si>
  <si>
    <t xml:space="preserve">  Funding status</t>
  </si>
  <si>
    <t xml:space="preserve">Peak funding need (intra-year)</t>
  </si>
  <si>
    <t xml:space="preserve">  Sensitivity: peak funding need with a $0 buffer</t>
  </si>
  <si>
    <t xml:space="preserve">Funded cash path (illustrative equity raise)</t>
  </si>
  <si>
    <t xml:space="preserve">Financing year (start of the first shortfall year; proceeds arrive with the payment)</t>
  </si>
  <si>
    <t xml:space="preserve">Net proceeds needed (covers peak need)</t>
  </si>
  <si>
    <t xml:space="preserve">Issuance fees</t>
  </si>
  <si>
    <t xml:space="preserve">Gross amount raised</t>
  </si>
  <si>
    <t xml:space="preserve">Net proceeds received in year</t>
  </si>
  <si>
    <t xml:space="preserve">Interest change vs. unfunded path (funded balance after start-of-year payments)</t>
  </si>
  <si>
    <t xml:space="preserve">Extra tax on that interest</t>
  </si>
  <si>
    <t xml:space="preserve">Closing cash — funded</t>
  </si>
  <si>
    <t xml:space="preserve">Lowest cash in the year — funded</t>
  </si>
  <si>
    <t xml:space="preserve">  Funded path stays above threshold?</t>
  </si>
  <si>
    <t xml:space="preserve">Hybrid company (core + value-share): earnings, taxes, cash</t>
  </si>
  <si>
    <t xml:space="preserve">Valuation as of end 2026</t>
  </si>
  <si>
    <t xml:space="preserve">Discount rate for this case</t>
  </si>
  <si>
    <t xml:space="preserve">2030 after-tax operating earnings (after stock comp &amp; depreciation)</t>
  </si>
  <si>
    <t xml:space="preserve">Exit P/E</t>
  </si>
  <si>
    <t xml:space="preserve">Exit value at end 2030 — P/E method</t>
  </si>
  <si>
    <t xml:space="preserve">  Discounted to end 2026</t>
  </si>
  <si>
    <t xml:space="preserve">Discounted economic cash flow 2027-2030</t>
  </si>
  <si>
    <t xml:space="preserve">Value of operations — P/E method</t>
  </si>
  <si>
    <t xml:space="preserve">Exit value (2030 economic cash flow x multiple), discounted</t>
  </si>
  <si>
    <t xml:space="preserve">Value of operations — cash flow method</t>
  </si>
  <si>
    <t xml:space="preserve">Value of operations — blended</t>
  </si>
  <si>
    <t xml:space="preserve">  Exit value share of value — P/E method</t>
  </si>
  <si>
    <t xml:space="preserve">  Exit value share of value — cash flow method</t>
  </si>
  <si>
    <t xml:space="preserve">Plus cash at end 2026 (from roll-forward)</t>
  </si>
  <si>
    <t xml:space="preserve">Plus unused prepaid compute at end 2030, discounted (assumed usable later; no refund assumed)</t>
  </si>
  <si>
    <t xml:space="preserve">Equity value, no new funding</t>
  </si>
  <si>
    <t xml:space="preserve">Equity value, no new funding — valid cases only</t>
  </si>
  <si>
    <t xml:space="preserve">Value per share before any raise (pre-funding)</t>
  </si>
  <si>
    <t xml:space="preserve">Peak funding need 2027-2030</t>
  </si>
  <si>
    <t xml:space="preserve">Cash runway after 2030 at the 2030 burn rate (years)</t>
  </si>
  <si>
    <t xml:space="preserve">Valuation validity check</t>
  </si>
  <si>
    <t xml:space="preserve">Funding / validity status</t>
  </si>
  <si>
    <t xml:space="preserve">Value per share if funded — 0% issuance discount</t>
  </si>
  <si>
    <t xml:space="preserve">Value per share if funded — base discount (Inputs)</t>
  </si>
  <si>
    <t xml:space="preserve">Value per share if funded — 30% issuance discount</t>
  </si>
  <si>
    <t xml:space="preserve">Value per share before Public Benefit issuances</t>
  </si>
  <si>
    <t xml:space="preserve">Public Benefit issuance steps (approximation)</t>
  </si>
  <si>
    <t xml:space="preserve">Value per share</t>
  </si>
  <si>
    <t xml:space="preserve">Value per share — no new funding available</t>
  </si>
  <si>
    <t xml:space="preserve">Equity value incl. any raise</t>
  </si>
  <si>
    <t xml:space="preserve">Equity value / 2027 revenue</t>
  </si>
  <si>
    <t xml:space="preserve">Memo: P/E method only, per share (pre-funding)</t>
  </si>
  <si>
    <t xml:space="preserve">Memo: cash flow method only, per share (pre-funding)</t>
  </si>
  <si>
    <t xml:space="preserve">Validity: exit multiples are not applied to a negative 2030 result, and a value at or below zero is not converted to a per-share price; both show 'unresolved'. Runway flags cash that runs out soon after 2030 even if 2026-2030 is covered (stock comp add-backs delay the shortfall).</t>
  </si>
  <si>
    <t xml:space="preserve">Funding: if cash falls below the threshold at any point in a year (start-of-year payments count), the peak need is assumed raised as equity at the start of that year, at a discount to the case's pre-funding value per share rolled forward to that date at the discount rate. Fees reduce proceeds. The funded cash path shows proceeds, extra interest and tax. Positive modeled value does not guarantee access to capital.</t>
  </si>
  <si>
    <t xml:space="preserve">Valuation charges stock comp and share-settled donations once, as expenses; future award shares are not added (except awards already granted, see Inputs). Interest is excluded from both methods and cash is added once. No liquidation value is modeled: the S-1 leaves the commitment payment schedule blank.</t>
  </si>
  <si>
    <t xml:space="preserve">Public Benefit steps: approximated from modeled value vs. the reference IPO price, not an actual 90-of-120-day price path; compounded; maximum issuance assumed if the switch is on.</t>
  </si>
  <si>
    <t xml:space="preserve">Base — projections, cash and valuation ($ millions except per share)</t>
  </si>
  <si>
    <t xml:space="preserve">Bull — projections, cash and valuation ($ millions except per share)</t>
  </si>
  <si>
    <t xml:space="preserve">S1 Flat revenue — projections, cash and valuation ($ millions except per share)</t>
  </si>
  <si>
    <t xml:space="preserve">S2 Compute +20% — projections, cash and valuation ($ millions except per share)</t>
  </si>
  <si>
    <t xml:space="preserve">S3 Half growth — projections, cash and valuation ($ millions except per share)</t>
  </si>
  <si>
    <t xml:space="preserve">S4 Lower multiples — projections, cash and valuation ($ millions except per share)</t>
  </si>
  <si>
    <t xml:space="preserve">S5 Discount +2pts — projections, cash and valuation ($ millions except per share)</t>
  </si>
  <si>
    <t xml:space="preserve">S6 Combined — projections, cash and valuation ($ millions except per share)</t>
  </si>
  <si>
    <t xml:space="preserve">T21 Tax 21% — projections, cash and valuation ($ millions except per share)</t>
  </si>
  <si>
    <t xml:space="preserve">T25 Tax 25% — projections, cash and valuation ($ millions except per share)</t>
  </si>
  <si>
    <t xml:space="preserve">T28 Tax 28% — projections, cash and valuation ($ millions except per share)</t>
  </si>
  <si>
    <t xml:space="preserve">S7 Funding test — projections, cash and valuation ($ millions except per share)</t>
  </si>
  <si>
    <t xml:space="preserve">S8 Commitment floor — projections, cash and valuation ($ millions except per share)</t>
  </si>
  <si>
    <t xml:space="preserve">S8E Floor, earlier timing — projections, cash and valuation ($ millions except per share)</t>
  </si>
  <si>
    <t xml:space="preserve">S8L Floor, later timing — projections, cash and valuation ($ millions except per share)</t>
  </si>
  <si>
    <t xml:space="preserve">S9 Contingent haircut — projections, cash and valuation ($ millions except per share)</t>
  </si>
  <si>
    <t xml:space="preserve">S10 Compute base normalized — projections, cash and valuation ($ millions except per share)</t>
  </si>
  <si>
    <t xml:space="preserve">Stress tests (separate from the Bear / Base / Bull cases)</t>
  </si>
  <si>
    <t xml:space="preserve">Each stress starts from Base and changes only what its name says. S6 combines half growth, compute +20%, multiples -25% and discount +2 points. S1 holds revenue flat while committed compute keeps growing. S7 adds an illustrative $200B 2027 compute prepayment to show the funding mechanics. S8 forces compute spending to at least the committed schedule (S-1/A table plus assumed timing for undated commitments); S8E and S8L move that timing earlier or later; S9 applies a proportional contingent-commitment haircut; S10 lowers the forward compute base by Q3 compute above 45% of revenue.</t>
  </si>
  <si>
    <t xml:space="preserve">Hybrid company</t>
  </si>
  <si>
    <t xml:space="preserve">S4 Multiples -25%</t>
  </si>
  <si>
    <t xml:space="preserve">S8E Earlier timing</t>
  </si>
  <si>
    <t xml:space="preserve">S8L Later timing</t>
  </si>
  <si>
    <t xml:space="preserve">S10 Base normalized</t>
  </si>
  <si>
    <t xml:space="preserve">2027-2030 compute spending ($B)</t>
  </si>
  <si>
    <t xml:space="preserve">2030 revenue ($B)</t>
  </si>
  <si>
    <t xml:space="preserve">2030 operating margin</t>
  </si>
  <si>
    <t xml:space="preserve">Lowest closing cash 2026-2030 ($B)</t>
  </si>
  <si>
    <t xml:space="preserve">Peak funding need ($B)</t>
  </si>
  <si>
    <t xml:space="preserve">Equity value, no new funding — valid cases only ($B)</t>
  </si>
  <si>
    <t xml:space="preserve">Value per share — no new funding</t>
  </si>
  <si>
    <t xml:space="preserve">Value per share — funded at 0% discount</t>
  </si>
  <si>
    <t xml:space="preserve">Value per share — funded at base discount</t>
  </si>
  <si>
    <t xml:space="preserve">Value per share — funded at 30% discount</t>
  </si>
  <si>
    <t xml:space="preserve">Value per share (after Public Benefit steps)</t>
  </si>
  <si>
    <t xml:space="preserve">Core only: value per share</t>
  </si>
  <si>
    <t xml:space="preserve">Core only: peak funding need ($B)</t>
  </si>
  <si>
    <t xml:space="preserve">Sensitivity: hybrid peak funding need with a $0 buffer ($B)</t>
  </si>
  <si>
    <t xml:space="preserve">Funded path: lowest cash 2026-2030 ($B)</t>
  </si>
  <si>
    <t xml:space="preserve">Funded path: year-end cash 2030 ($B)</t>
  </si>
  <si>
    <t xml:space="preserve">Unused prepaid compute at end 2030 ($B)</t>
  </si>
  <si>
    <t xml:space="preserve">DIAGNOSTIC ONLY, not a valuation: raw calculated equity ($B)</t>
  </si>
  <si>
    <t xml:space="preserve">DIAGNOSTIC: 2030 actual cash flow ($B)</t>
  </si>
  <si>
    <t xml:space="preserve">DIAGNOSTIC: cash runway after 2030 (years)</t>
  </si>
  <si>
    <t xml:space="preserve">Flat-revenue check (S1): cumulative 2027-2030 economic cash flow, core vs. hybrid ($B), against end-2026 cash.</t>
  </si>
  <si>
    <t xml:space="preserve">Core: cumulative 2027-2030 economic cash flow ($B)</t>
  </si>
  <si>
    <t xml:space="preserve">Hybrid: cumulative 2027-2030 economic cash flow ($B)</t>
  </si>
  <si>
    <t xml:space="preserve">End-2026 cash ($B)</t>
  </si>
  <si>
    <t xml:space="preserve">Hybrid: cumulative actual (liquidity) cash flow incl. interest and non-cash add-backs ($B)</t>
  </si>
  <si>
    <t xml:space="preserve">Economic cash flow excludes interest and charges stock comp; actual cash flow adds back stock comp and includes interest, so it burns less cash. Funding need uses actual cash flow.</t>
  </si>
</sst>
</file>

<file path=xl/styles.xml><?xml version="1.0" encoding="utf-8"?>
<styleSheet xmlns="http://schemas.openxmlformats.org/spreadsheetml/2006/main">
  <numFmts count="17">
    <numFmt numFmtId="164" formatCode="General"/>
    <numFmt numFmtId="165" formatCode="@"/>
    <numFmt numFmtId="166" formatCode="\$#,##0.00"/>
    <numFmt numFmtId="167" formatCode="\$#,##0.0;&quot;($&quot;#,##0.0\);\-"/>
    <numFmt numFmtId="168" formatCode="0.0%;\(0.0%\);\-"/>
    <numFmt numFmtId="169" formatCode="0"/>
    <numFmt numFmtId="170" formatCode="0.00%"/>
    <numFmt numFmtId="171" formatCode="\$0.000;&quot;($&quot;0.000\)"/>
    <numFmt numFmtId="172" formatCode="\$#,##0"/>
    <numFmt numFmtId="173" formatCode="0.0\x"/>
    <numFmt numFmtId="174" formatCode="#,##0.00"/>
    <numFmt numFmtId="175" formatCode="\$#,##0;&quot;($&quot;#,##0\);\-"/>
    <numFmt numFmtId="176" formatCode="0\x"/>
    <numFmt numFmtId="177" formatCode="#,##0"/>
    <numFmt numFmtId="178" formatCode="#,##0.0"/>
    <numFmt numFmtId="179" formatCode="0.000"/>
    <numFmt numFmtId="180" formatCode="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sz val="10"/>
      <name val="Arial"/>
      <family val="0"/>
      <charset val="1"/>
    </font>
    <font>
      <sz val="10"/>
      <name val="Arial"/>
      <family val="0"/>
      <charset val="1"/>
    </font>
    <font>
      <i val="true"/>
      <sz val="9"/>
      <name val="Arial"/>
      <family val="0"/>
      <charset val="1"/>
    </font>
    <font>
      <b val="true"/>
      <sz val="10"/>
      <color rgb="FFC00000"/>
      <name val="Arial"/>
      <family val="0"/>
      <charset val="1"/>
    </font>
    <font>
      <b val="true"/>
      <sz val="10"/>
      <color rgb="FFFFFFFF"/>
      <name val="Arial"/>
      <family val="0"/>
      <charset val="1"/>
    </font>
    <font>
      <sz val="10"/>
      <color rgb="FF008000"/>
      <name val="Arial"/>
      <family val="0"/>
      <charset val="1"/>
    </font>
    <font>
      <sz val="10"/>
      <color rgb="FF0000FF"/>
      <name val="Arial"/>
      <family val="0"/>
      <charset val="1"/>
    </font>
    <font>
      <sz val="10"/>
      <name val="Arial"/>
      <family val="2"/>
    </font>
  </fonts>
  <fills count="5">
    <fill>
      <patternFill patternType="none"/>
    </fill>
    <fill>
      <patternFill patternType="gray125"/>
    </fill>
    <fill>
      <patternFill patternType="solid">
        <fgColor rgb="FF1F3864"/>
        <bgColor rgb="FF333333"/>
      </patternFill>
    </fill>
    <fill>
      <patternFill patternType="solid">
        <fgColor rgb="FFD9E1F2"/>
        <bgColor rgb="FFCCFFFF"/>
      </patternFill>
    </fill>
    <fill>
      <patternFill patternType="solid">
        <fgColor rgb="FFFFFF00"/>
        <bgColor rgb="FFFFFF00"/>
      </patternFill>
    </fill>
  </fills>
  <borders count="2">
    <border diagonalUp="false" diagonalDown="false">
      <left/>
      <right/>
      <top/>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left" vertical="bottom" textRotation="0" wrapText="false" indent="0" shrinkToFit="false"/>
      <protection locked="true" hidden="false"/>
    </xf>
    <xf numFmtId="164" fontId="9" fillId="2"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8" fontId="6"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9" fontId="10" fillId="0"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70" fontId="10" fillId="0" borderId="0" xfId="0" applyFont="true" applyBorder="false" applyAlignment="true" applyProtection="false">
      <alignment horizontal="general" vertical="bottom" textRotation="0" wrapText="false" indent="0" shrinkToFit="false"/>
      <protection locked="true" hidden="false"/>
    </xf>
    <xf numFmtId="171" fontId="5" fillId="0" borderId="0" xfId="0" applyFont="true" applyBorder="false" applyAlignment="true" applyProtection="false">
      <alignment horizontal="general" vertical="bottom" textRotation="0" wrapText="false" indent="0" shrinkToFit="false"/>
      <protection locked="true" hidden="false"/>
    </xf>
    <xf numFmtId="172" fontId="10" fillId="0"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72" fontId="6" fillId="0"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73" fontId="6" fillId="0" borderId="0" xfId="0" applyFont="tru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75" fontId="11" fillId="0" borderId="0" xfId="0" applyFont="true" applyBorder="false" applyAlignment="true" applyProtection="false">
      <alignment horizontal="general" vertical="bottom" textRotation="0" wrapText="false" indent="0" shrinkToFit="false"/>
      <protection locked="true" hidden="false"/>
    </xf>
    <xf numFmtId="175" fontId="5" fillId="0" borderId="1" xfId="0" applyFont="true" applyBorder="true" applyAlignment="true" applyProtection="false">
      <alignment horizontal="general" vertical="bottom" textRotation="0" wrapText="false" indent="0" shrinkToFit="false"/>
      <protection locked="true" hidden="false"/>
    </xf>
    <xf numFmtId="175" fontId="6" fillId="0" borderId="0" xfId="0" applyFont="true" applyBorder="false" applyAlignment="true" applyProtection="false">
      <alignment horizontal="general" vertical="bottom" textRotation="0" wrapText="false" indent="0" shrinkToFit="false"/>
      <protection locked="true" hidden="false"/>
    </xf>
    <xf numFmtId="175" fontId="5" fillId="0" borderId="0" xfId="0" applyFont="true" applyBorder="false" applyAlignment="tru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76" fontId="11" fillId="0" borderId="0" xfId="0" applyFont="true" applyBorder="false" applyAlignment="true" applyProtection="false">
      <alignment horizontal="general" vertical="bottom" textRotation="0" wrapText="false" indent="0" shrinkToFit="false"/>
      <protection locked="true" hidden="false"/>
    </xf>
    <xf numFmtId="175" fontId="10" fillId="0" borderId="0" xfId="0" applyFont="true" applyBorder="false" applyAlignment="true" applyProtection="false">
      <alignment horizontal="general" vertical="bottom" textRotation="0" wrapText="false" indent="0" shrinkToFit="false"/>
      <protection locked="true" hidden="false"/>
    </xf>
    <xf numFmtId="177" fontId="11" fillId="0" borderId="0" xfId="0" applyFont="true" applyBorder="false" applyAlignment="true" applyProtection="false">
      <alignment horizontal="general" vertical="bottom" textRotation="0" wrapText="false" indent="0" shrinkToFit="false"/>
      <protection locked="true" hidden="false"/>
    </xf>
    <xf numFmtId="177" fontId="6" fillId="0" borderId="0" xfId="0" applyFont="true" applyBorder="false" applyAlignment="true" applyProtection="false">
      <alignment horizontal="general" vertical="bottom" textRotation="0" wrapText="false" indent="0" shrinkToFit="false"/>
      <protection locked="true" hidden="false"/>
    </xf>
    <xf numFmtId="169" fontId="11" fillId="4" borderId="0" xfId="0" applyFont="true" applyBorder="false" applyAlignment="true" applyProtection="false">
      <alignment horizontal="general" vertical="bottom" textRotation="0" wrapText="false" indent="0" shrinkToFit="false"/>
      <protection locked="true" hidden="false"/>
    </xf>
    <xf numFmtId="178" fontId="6" fillId="0" borderId="0" xfId="0" applyFont="true" applyBorder="false" applyAlignment="true" applyProtection="false">
      <alignment horizontal="general" vertical="bottom" textRotation="0" wrapText="false" indent="0" shrinkToFit="false"/>
      <protection locked="true" hidden="false"/>
    </xf>
    <xf numFmtId="178" fontId="11" fillId="0" borderId="0" xfId="0" applyFont="true" applyBorder="false" applyAlignment="true" applyProtection="false">
      <alignment horizontal="general" vertical="bottom" textRotation="0" wrapText="false" indent="0" shrinkToFit="false"/>
      <protection locked="true" hidden="false"/>
    </xf>
    <xf numFmtId="177" fontId="11" fillId="4" borderId="0" xfId="0" applyFont="true" applyBorder="false" applyAlignment="true" applyProtection="false">
      <alignment horizontal="general" vertical="bottom" textRotation="0" wrapText="false" indent="0" shrinkToFit="false"/>
      <protection locked="true" hidden="false"/>
    </xf>
    <xf numFmtId="175" fontId="11" fillId="4" borderId="0" xfId="0" applyFont="true" applyBorder="false" applyAlignment="true" applyProtection="false">
      <alignment horizontal="general" vertical="bottom" textRotation="0" wrapText="false" indent="0" shrinkToFit="false"/>
      <protection locked="true" hidden="false"/>
    </xf>
    <xf numFmtId="168" fontId="11" fillId="4" borderId="0" xfId="0" applyFont="true" applyBorder="false" applyAlignment="true" applyProtection="false">
      <alignment horizontal="general" vertical="bottom" textRotation="0" wrapText="false" indent="0" shrinkToFit="false"/>
      <protection locked="true" hidden="false"/>
    </xf>
    <xf numFmtId="173" fontId="11" fillId="4" borderId="0" xfId="0" applyFont="true" applyBorder="false" applyAlignment="true" applyProtection="false">
      <alignment horizontal="general" vertical="bottom" textRotation="0" wrapText="false" indent="0" shrinkToFit="false"/>
      <protection locked="true" hidden="false"/>
    </xf>
    <xf numFmtId="169" fontId="6" fillId="0" borderId="0" xfId="0" applyFont="true" applyBorder="false" applyAlignment="true" applyProtection="false">
      <alignment horizontal="general" vertical="bottom" textRotation="0" wrapText="false" indent="0" shrinkToFit="false"/>
      <protection locked="true" hidden="false"/>
    </xf>
    <xf numFmtId="169" fontId="5" fillId="0" borderId="0" xfId="0" applyFont="true" applyBorder="false" applyAlignment="true" applyProtection="false">
      <alignment horizontal="general" vertical="bottom" textRotation="0" wrapText="false" indent="0" shrinkToFit="false"/>
      <protection locked="true" hidden="false"/>
    </xf>
    <xf numFmtId="179" fontId="6" fillId="0" borderId="0" xfId="0" applyFont="true" applyBorder="false" applyAlignment="true" applyProtection="false">
      <alignment horizontal="general" vertical="bottom" textRotation="0" wrapText="false" indent="0" shrinkToFit="false"/>
      <protection locked="true" hidden="false"/>
    </xf>
    <xf numFmtId="173" fontId="10" fillId="0" borderId="0" xfId="0" applyFont="true" applyBorder="false" applyAlignment="true" applyProtection="false">
      <alignment horizontal="general" vertical="bottom" textRotation="0" wrapText="false" indent="0" shrinkToFit="false"/>
      <protection locked="true" hidden="false"/>
    </xf>
    <xf numFmtId="170" fontId="6" fillId="0"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77" fontId="10" fillId="0" borderId="0" xfId="0" applyFont="true" applyBorder="false" applyAlignment="true" applyProtection="false">
      <alignment horizontal="general" vertical="bottom" textRotation="0" wrapText="false" indent="0" shrinkToFit="false"/>
      <protection locked="true" hidden="false"/>
    </xf>
    <xf numFmtId="180" fontId="6" fillId="0" borderId="0" xfId="0" applyFont="true" applyBorder="false" applyAlignment="true" applyProtection="false">
      <alignment horizontal="general" vertical="bottom" textRotation="0" wrapText="false" indent="0" shrinkToFit="false"/>
      <protection locked="true" hidden="false"/>
    </xf>
    <xf numFmtId="180" fontId="10"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2" t="s">
        <v>2</v>
      </c>
    </row>
    <row r="5" customFormat="false" ht="15" hidden="false" customHeight="false" outlineLevel="0" collapsed="false">
      <c r="A5" s="3" t="s">
        <v>3</v>
      </c>
    </row>
    <row r="6" customFormat="false" ht="15" hidden="false" customHeight="false" outlineLevel="0" collapsed="false">
      <c r="A6" s="3" t="s">
        <v>4</v>
      </c>
    </row>
    <row r="7" customFormat="false" ht="15" hidden="false" customHeight="false" outlineLevel="0" collapsed="false">
      <c r="A7" s="3" t="s">
        <v>5</v>
      </c>
    </row>
    <row r="8" customFormat="false" ht="15" hidden="false" customHeight="false" outlineLevel="0" collapsed="false">
      <c r="A8" s="3"/>
    </row>
    <row r="9" customFormat="false" ht="15" hidden="false" customHeight="false" outlineLevel="0" collapsed="false">
      <c r="A9" s="2" t="s">
        <v>6</v>
      </c>
    </row>
    <row r="10" customFormat="false" ht="1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row>
    <row r="14" customFormat="false" ht="15" hidden="false" customHeight="false" outlineLevel="0" collapsed="false">
      <c r="A14" s="2" t="s">
        <v>10</v>
      </c>
    </row>
    <row r="15" customFormat="false" ht="15" hidden="false" customHeight="false" outlineLevel="0" collapsed="false">
      <c r="A15" s="3" t="s">
        <v>11</v>
      </c>
    </row>
    <row r="16" customFormat="false" ht="15" hidden="false" customHeight="false" outlineLevel="0" collapsed="false">
      <c r="A16" s="3" t="s">
        <v>12</v>
      </c>
    </row>
    <row r="17" customFormat="false" ht="15" hidden="false" customHeight="false" outlineLevel="0" collapsed="false">
      <c r="A17" s="3" t="s">
        <v>13</v>
      </c>
    </row>
    <row r="18" customFormat="false" ht="15" hidden="false" customHeight="false" outlineLevel="0" collapsed="false">
      <c r="A18" s="3"/>
    </row>
    <row r="19" customFormat="false" ht="15" hidden="false" customHeight="false" outlineLevel="0" collapsed="false">
      <c r="A19" s="2" t="s">
        <v>14</v>
      </c>
    </row>
    <row r="20" customFormat="false" ht="15" hidden="false" customHeight="false" outlineLevel="0" collapsed="false">
      <c r="A20" s="3" t="s">
        <v>15</v>
      </c>
    </row>
    <row r="21" customFormat="false" ht="15" hidden="false" customHeight="false" outlineLevel="0" collapsed="false">
      <c r="A21" s="3" t="s">
        <v>16</v>
      </c>
    </row>
    <row r="22" customFormat="false" ht="15" hidden="false" customHeight="false" outlineLevel="0" collapsed="false">
      <c r="A22" s="3" t="s">
        <v>17</v>
      </c>
    </row>
    <row r="23" customFormat="false" ht="15" hidden="false" customHeight="false" outlineLevel="0" collapsed="false">
      <c r="A23" s="3" t="s">
        <v>18</v>
      </c>
    </row>
    <row r="24" customFormat="false" ht="15" hidden="false" customHeight="false" outlineLevel="0" collapsed="false">
      <c r="A24" s="3" t="s">
        <v>19</v>
      </c>
    </row>
    <row r="25" customFormat="false" ht="15" hidden="false" customHeight="false" outlineLevel="0" collapsed="false">
      <c r="A25" s="3" t="s">
        <v>20</v>
      </c>
    </row>
    <row r="26" customFormat="false" ht="15" hidden="false" customHeight="false" outlineLevel="0" collapsed="false">
      <c r="A26" s="3" t="s">
        <v>21</v>
      </c>
    </row>
    <row r="27" customFormat="false" ht="15" hidden="false" customHeight="false" outlineLevel="0" collapsed="false">
      <c r="A27" s="3" t="s">
        <v>22</v>
      </c>
    </row>
    <row r="28" customFormat="false" ht="15" hidden="false" customHeight="false" outlineLevel="0" collapsed="false">
      <c r="A28" s="3" t="s">
        <v>23</v>
      </c>
    </row>
    <row r="29" customFormat="false" ht="15" hidden="false" customHeight="false" outlineLevel="0" collapsed="false">
      <c r="A29" s="3" t="s">
        <v>24</v>
      </c>
    </row>
    <row r="30" customFormat="false" ht="15" hidden="false" customHeight="false" outlineLevel="0" collapsed="false">
      <c r="A30" s="3" t="s">
        <v>25</v>
      </c>
    </row>
    <row r="31" customFormat="false" ht="15" hidden="false" customHeight="false" outlineLevel="0" collapsed="false">
      <c r="A31" s="3" t="s">
        <v>26</v>
      </c>
    </row>
    <row r="32" customFormat="false" ht="15" hidden="false" customHeight="false" outlineLevel="0" collapsed="false">
      <c r="A32" s="3" t="s">
        <v>27</v>
      </c>
    </row>
    <row r="33" customFormat="false" ht="15" hidden="false" customHeight="false" outlineLevel="0" collapsed="false">
      <c r="A33" s="3" t="s">
        <v>28</v>
      </c>
    </row>
    <row r="34" customFormat="false" ht="15" hidden="false" customHeight="false" outlineLevel="0" collapsed="false">
      <c r="A34" s="3" t="s">
        <v>29</v>
      </c>
    </row>
    <row r="35" customFormat="false" ht="15" hidden="false" customHeight="false" outlineLevel="0" collapsed="false">
      <c r="A35" s="3" t="s">
        <v>30</v>
      </c>
    </row>
    <row r="36" customFormat="false" ht="15" hidden="false" customHeight="false" outlineLevel="0" collapsed="false">
      <c r="A36" s="3" t="s">
        <v>31</v>
      </c>
    </row>
    <row r="37" customFormat="false" ht="15" hidden="false" customHeight="false" outlineLevel="0" collapsed="false">
      <c r="A37" s="3" t="s">
        <v>32</v>
      </c>
    </row>
    <row r="38" customFormat="false" ht="15" hidden="false" customHeight="false" outlineLevel="0" collapsed="false">
      <c r="A38" s="3" t="s">
        <v>33</v>
      </c>
    </row>
    <row r="39" customFormat="false" ht="15" hidden="false" customHeight="false" outlineLevel="0" collapsed="false">
      <c r="A39" s="3" t="s">
        <v>34</v>
      </c>
    </row>
    <row r="40" customFormat="false" ht="15" hidden="false" customHeight="false" outlineLevel="0" collapsed="false">
      <c r="A40" s="3" t="s">
        <v>35</v>
      </c>
    </row>
    <row r="41" customFormat="false" ht="15" hidden="false" customHeight="false" outlineLevel="0" collapsed="false">
      <c r="A41" s="3" t="s">
        <v>36</v>
      </c>
    </row>
    <row r="42" customFormat="false" ht="15" hidden="false" customHeight="false" outlineLevel="0" collapsed="false">
      <c r="A42" s="3" t="s">
        <v>37</v>
      </c>
    </row>
    <row r="43" customFormat="false" ht="15" hidden="false" customHeight="false" outlineLevel="0" collapsed="false">
      <c r="A43" s="3" t="s">
        <v>38</v>
      </c>
    </row>
    <row r="44" customFormat="false" ht="15" hidden="false" customHeight="false" outlineLevel="0" collapsed="false">
      <c r="A44" s="3" t="s">
        <v>39</v>
      </c>
    </row>
    <row r="45" customFormat="false" ht="15" hidden="false" customHeight="false" outlineLevel="0" collapsed="false">
      <c r="A45" s="3" t="s">
        <v>40</v>
      </c>
    </row>
    <row r="46" customFormat="false" ht="15" hidden="false" customHeight="false" outlineLevel="0" collapsed="false">
      <c r="A46" s="3" t="s">
        <v>41</v>
      </c>
    </row>
    <row r="47" customFormat="false" ht="15" hidden="false" customHeight="false" outlineLevel="0" collapsed="false">
      <c r="A47" s="3" t="s">
        <v>42</v>
      </c>
    </row>
    <row r="48" customFormat="false" ht="15" hidden="false" customHeight="false" outlineLevel="0" collapsed="false">
      <c r="A48" s="3" t="s">
        <v>43</v>
      </c>
    </row>
    <row r="49" customFormat="false" ht="15" hidden="false" customHeight="false" outlineLevel="0" collapsed="false">
      <c r="A49" s="3" t="s">
        <v>44</v>
      </c>
    </row>
    <row r="50" customFormat="false" ht="15" hidden="false" customHeight="false" outlineLevel="0" collapsed="false">
      <c r="A50" s="3"/>
    </row>
    <row r="51" customFormat="false" ht="15" hidden="false" customHeight="false" outlineLevel="0" collapsed="false">
      <c r="A51" s="2" t="s">
        <v>45</v>
      </c>
    </row>
    <row r="52" customFormat="false" ht="15" hidden="false" customHeight="false" outlineLevel="0" collapsed="false">
      <c r="A52" s="3" t="s">
        <v>46</v>
      </c>
    </row>
    <row r="53" customFormat="false" ht="15" hidden="false" customHeight="false" outlineLevel="0" collapsed="false">
      <c r="A53" s="3" t="s">
        <v>47</v>
      </c>
    </row>
    <row r="54" customFormat="false" ht="15" hidden="false" customHeight="false" outlineLevel="0" collapsed="false">
      <c r="A54" s="3"/>
    </row>
    <row r="55" customFormat="false" ht="15" hidden="false" customHeight="false" outlineLevel="0" collapsed="false">
      <c r="A55" s="2" t="s">
        <v>48</v>
      </c>
    </row>
    <row r="56" customFormat="false" ht="15" hidden="false" customHeight="false" outlineLevel="0" collapsed="false">
      <c r="A56" s="3" t="s">
        <v>49</v>
      </c>
    </row>
    <row r="57" customFormat="false" ht="15" hidden="false" customHeight="false" outlineLevel="0" collapsed="false">
      <c r="A57" s="3" t="s">
        <v>50</v>
      </c>
    </row>
    <row r="58" customFormat="false" ht="15" hidden="false" customHeight="false" outlineLevel="0" collapsed="false">
      <c r="A58" s="3" t="s">
        <v>51</v>
      </c>
    </row>
    <row r="59" customFormat="false" ht="15" hidden="false" customHeight="false" outlineLevel="0" collapsed="false">
      <c r="A59" s="3" t="s">
        <v>52</v>
      </c>
    </row>
    <row r="60" customFormat="false" ht="15" hidden="false" customHeight="false" outlineLevel="0" collapsed="false">
      <c r="A60" s="3"/>
    </row>
    <row r="61" customFormat="false" ht="15" hidden="false" customHeight="false" outlineLevel="0" collapsed="false">
      <c r="A61" s="2" t="s">
        <v>53</v>
      </c>
    </row>
    <row r="62" customFormat="false" ht="15" hidden="false" customHeight="false" outlineLevel="0" collapsed="false">
      <c r="A62" s="3" t="s">
        <v>54</v>
      </c>
    </row>
    <row r="63" customFormat="false" ht="15" hidden="false" customHeight="false" outlineLevel="0" collapsed="false">
      <c r="A63" s="3" t="s">
        <v>55</v>
      </c>
    </row>
    <row r="64" customFormat="false" ht="15" hidden="false" customHeight="false" outlineLevel="0" collapsed="false">
      <c r="A64" s="3"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4" width="72"/>
    <col collapsed="false" customWidth="true" hidden="false" outlineLevel="0" max="6" min="2" style="4" width="15"/>
  </cols>
  <sheetData>
    <row r="1" customFormat="false" ht="17.25" hidden="false" customHeight="true" outlineLevel="0" collapsed="false">
      <c r="A1" s="5" t="s">
        <v>57</v>
      </c>
    </row>
    <row r="2" customFormat="false" ht="15" hidden="false" customHeight="true" outlineLevel="0" collapsed="false">
      <c r="A2" s="6" t="s">
        <v>58</v>
      </c>
    </row>
    <row r="3" customFormat="false" ht="15" hidden="false" customHeight="true" outlineLevel="0" collapsed="false">
      <c r="A3" s="7" t="str">
        <f aca="false">Inputs!C155</f>
        <v>All input checks passed</v>
      </c>
    </row>
    <row r="4" customFormat="false" ht="15" hidden="false" customHeight="true" outlineLevel="0" collapsed="false">
      <c r="A4" s="8" t="s">
        <v>59</v>
      </c>
      <c r="B4" s="9" t="s">
        <v>60</v>
      </c>
      <c r="C4" s="9" t="s">
        <v>61</v>
      </c>
      <c r="D4" s="9" t="s">
        <v>62</v>
      </c>
      <c r="E4" s="9" t="s">
        <v>63</v>
      </c>
    </row>
    <row r="5" customFormat="false" ht="15" hidden="false" customHeight="true" outlineLevel="0" collapsed="false">
      <c r="A5" s="10" t="s">
        <v>64</v>
      </c>
      <c r="B5" s="11" t="n">
        <f aca="false">Bear!G189</f>
        <v>10.4041131767755</v>
      </c>
      <c r="C5" s="11" t="n">
        <f aca="false">Base!G189</f>
        <v>80.084996211726</v>
      </c>
      <c r="D5" s="11" t="n">
        <f aca="false">Bull!G189</f>
        <v>332.111785808108</v>
      </c>
      <c r="E5" s="12" t="n">
        <f aca="false">IF(Inputs!$B$155&gt;0,"check inputs",IF(COUNT(B5:D5)&lt;3,"n/a",SUMPRODUCT(B5:D5,$B$13:$D$13)))</f>
        <v>125.671472852084</v>
      </c>
    </row>
    <row r="6" customFormat="false" ht="15" hidden="false" customHeight="true" outlineLevel="0" collapsed="false">
      <c r="A6" s="13" t="s">
        <v>65</v>
      </c>
      <c r="B6" s="11" t="n">
        <f aca="false">Bear!F189</f>
        <v>11.970593071644</v>
      </c>
      <c r="C6" s="11" t="n">
        <f aca="false">Base!F189</f>
        <v>68.6575822975675</v>
      </c>
      <c r="D6" s="11" t="n">
        <f aca="false">Bull!F189</f>
        <v>181.690083028848</v>
      </c>
      <c r="E6" s="12" t="n">
        <f aca="false">IF(Inputs!$B$155&gt;0,"check inputs",IF(COUNT(B6:D6)&lt;3,"n/a",SUMPRODUCT(B6:D6,$B$13:$D$13)))</f>
        <v>82.7439601739067</v>
      </c>
    </row>
    <row r="7" customFormat="false" ht="15" hidden="false" customHeight="true" outlineLevel="0" collapsed="false">
      <c r="A7" s="10" t="s">
        <v>66</v>
      </c>
      <c r="B7" s="14" t="n">
        <f aca="false">IFERROR(Bear!G191/1000,"n/a")</f>
        <v>186.61920396327</v>
      </c>
      <c r="C7" s="14" t="n">
        <f aca="false">IFERROR(Base!G191/1000,"n/a")</f>
        <v>1436.4893949631</v>
      </c>
      <c r="D7" s="14" t="n">
        <f aca="false">IFERROR(Bull!G191/1000,"n/a")</f>
        <v>6321.73181456909</v>
      </c>
      <c r="E7" s="15" t="n">
        <f aca="false">IF(Inputs!$B$155&gt;0,"check inputs",IF(COUNT(B7:D7)&lt;3,"n/a",SUMPRODUCT(B7:D7,$B$13:$D$13)))</f>
        <v>2345.33245211464</v>
      </c>
    </row>
    <row r="8" customFormat="false" ht="15" hidden="false" customHeight="true" outlineLevel="0" collapsed="false">
      <c r="A8" s="13" t="s">
        <v>67</v>
      </c>
      <c r="B8" s="14" t="n">
        <f aca="false">IFERROR(Bear!F191/1000,"n/a")</f>
        <v>214.717248076957</v>
      </c>
      <c r="C8" s="14" t="n">
        <f aca="false">IFERROR(Base!F191/1000,"n/a")</f>
        <v>1231.51518411162</v>
      </c>
      <c r="D8" s="14" t="n">
        <f aca="false">IFERROR(Bull!F191/1000,"n/a")</f>
        <v>3390.6489821343</v>
      </c>
      <c r="E8" s="15" t="n">
        <f aca="false">IF(Inputs!$B$155&gt;0,"check inputs",IF(COUNT(B8:D8)&lt;3,"n/a",SUMPRODUCT(B8:D8,$B$13:$D$13)))</f>
        <v>1517.09914960862</v>
      </c>
    </row>
    <row r="9" customFormat="false" ht="15" hidden="false" customHeight="true" outlineLevel="0" collapsed="false">
      <c r="A9" s="13" t="s">
        <v>68</v>
      </c>
      <c r="B9" s="16" t="n">
        <f aca="false">IFERROR(B7/B8-1,"n/a")</f>
        <v>-0.130860675448004</v>
      </c>
      <c r="C9" s="16" t="n">
        <f aca="false">IFERROR(C7/C8-1,"n/a")</f>
        <v>0.166440668776118</v>
      </c>
      <c r="D9" s="16" t="n">
        <f aca="false">IFERROR(D7/D8-1,"n/a")</f>
        <v>0.86446071176314</v>
      </c>
      <c r="E9" s="16" t="n">
        <f aca="false">IFERROR(E7/E8-1,"n/a")</f>
        <v>0.545932217231603</v>
      </c>
    </row>
    <row r="10" customFormat="false" ht="15" hidden="false" customHeight="true" outlineLevel="0" collapsed="false">
      <c r="A10" s="13" t="s">
        <v>69</v>
      </c>
      <c r="B10" s="17" t="str">
        <f aca="false">Bear!G183</f>
        <v>No raise needed</v>
      </c>
      <c r="C10" s="17" t="str">
        <f aca="false">Base!G183</f>
        <v>No raise needed</v>
      </c>
      <c r="D10" s="17" t="str">
        <f aca="false">Bull!G183</f>
        <v>No raise needed</v>
      </c>
    </row>
    <row r="11" customFormat="false" ht="15" hidden="false" customHeight="true" outlineLevel="0" collapsed="false">
      <c r="A11" s="13" t="s">
        <v>70</v>
      </c>
      <c r="B11" s="18" t="n">
        <f aca="false">Bear!G188</f>
        <v>0</v>
      </c>
      <c r="C11" s="18" t="n">
        <f aca="false">Base!G188</f>
        <v>0</v>
      </c>
      <c r="D11" s="18" t="n">
        <f aca="false">Bull!G188</f>
        <v>3</v>
      </c>
    </row>
    <row r="12" customFormat="false" ht="15" hidden="false" customHeight="true" outlineLevel="0" collapsed="false">
      <c r="A12" s="13" t="s">
        <v>71</v>
      </c>
      <c r="B12" s="17" t="str">
        <f aca="false">TEXT(Bear!G172,"0%")&amp;" / "&amp;TEXT(Bear!G173,"0%")</f>
        <v>98% / 96%</v>
      </c>
      <c r="C12" s="17" t="str">
        <f aca="false">TEXT(Base!G172,"0%")&amp;" / "&amp;TEXT(Base!G173,"0%")</f>
        <v>93% / 92%</v>
      </c>
      <c r="D12" s="17" t="str">
        <f aca="false">TEXT(Bull!G172,"0%")&amp;" / "&amp;TEXT(Bull!G173,"0%")</f>
        <v>95% / 94%</v>
      </c>
    </row>
    <row r="13" customFormat="false" ht="15" hidden="false" customHeight="true" outlineLevel="0" collapsed="false">
      <c r="A13" s="13" t="s">
        <v>72</v>
      </c>
      <c r="B13" s="19" t="n">
        <f aca="false">Inputs!B114</f>
        <v>0.25</v>
      </c>
      <c r="C13" s="19" t="n">
        <f aca="false">Inputs!C114</f>
        <v>0.5</v>
      </c>
      <c r="D13" s="19" t="n">
        <f aca="false">Inputs!D114</f>
        <v>0.25</v>
      </c>
      <c r="E13" s="20" t="n">
        <f aca="false">SUM($B$13:$D$13)</f>
        <v>1</v>
      </c>
    </row>
    <row r="14" customFormat="false" ht="15" hidden="false" customHeight="true" outlineLevel="0" collapsed="false">
      <c r="A14" s="13" t="s">
        <v>73</v>
      </c>
      <c r="E14" s="20" t="n">
        <f aca="false">IFERROR(D13*D5/E5,"n/a")</f>
        <v>0.660674571306659</v>
      </c>
    </row>
    <row r="16" customFormat="false" ht="15" hidden="false" customHeight="true" outlineLevel="0" collapsed="false">
      <c r="A16" s="8" t="s">
        <v>74</v>
      </c>
      <c r="B16" s="9" t="s">
        <v>75</v>
      </c>
      <c r="C16" s="9"/>
      <c r="D16" s="9"/>
      <c r="E16" s="9"/>
    </row>
    <row r="17" customFormat="false" ht="15" hidden="false" customHeight="true" outlineLevel="0" collapsed="false">
      <c r="A17" s="13" t="s">
        <v>76</v>
      </c>
      <c r="B17" s="11" t="n">
        <f aca="false">C5</f>
        <v>80.084996211726</v>
      </c>
    </row>
    <row r="18" customFormat="false" ht="15" hidden="false" customHeight="true" outlineLevel="0" collapsed="false">
      <c r="A18" s="13" t="s">
        <v>77</v>
      </c>
      <c r="B18" s="11" t="str">
        <f aca="false">S6!G189</f>
        <v>unresolved</v>
      </c>
    </row>
    <row r="19" customFormat="false" ht="15" hidden="false" customHeight="true" outlineLevel="0" collapsed="false">
      <c r="A19" s="13" t="s">
        <v>78</v>
      </c>
      <c r="B19" s="17" t="str">
        <f aca="false">S6!G183</f>
        <v>Not meaningful: 2030 earnings or cash flow negative</v>
      </c>
    </row>
    <row r="20" customFormat="false" ht="15" hidden="false" customHeight="true" outlineLevel="0" collapsed="false">
      <c r="A20" s="13" t="s">
        <v>79</v>
      </c>
      <c r="B20" s="17" t="str">
        <f aca="false">TEXT(S1!G141/1000,"$0.0")&amp;"B; "&amp;IF(ISNUMBER(S1!G181),TEXT(S1!G181,"0.0")&amp;" years of cash at 2030 burn","cash-positive")</f>
        <v>-$16.3B; 0.0 years of cash at 2030 burn</v>
      </c>
    </row>
    <row r="21" customFormat="false" ht="15" hidden="false" customHeight="true" outlineLevel="0" collapsed="false">
      <c r="A21" s="13" t="s">
        <v>80</v>
      </c>
      <c r="B21" s="17" t="str">
        <f aca="false">C12</f>
        <v>93% / 92%</v>
      </c>
    </row>
    <row r="22" customFormat="false" ht="15" hidden="false" customHeight="true" outlineLevel="0" collapsed="false">
      <c r="A22" s="13" t="s">
        <v>81</v>
      </c>
      <c r="B22" s="19" t="n">
        <f aca="false">E14</f>
        <v>0.660674571306659</v>
      </c>
    </row>
    <row r="23" customFormat="false" ht="15" hidden="false" customHeight="true" outlineLevel="0" collapsed="false">
      <c r="A23" s="6" t="s">
        <v>82</v>
      </c>
    </row>
    <row r="24" customFormat="false" ht="15" hidden="false" customHeight="true" outlineLevel="0" collapsed="false">
      <c r="A24" s="21" t="str">
        <f aca="false">"Assumed, not disclosed: state tax on "&amp;TEXT(Inputs!$B$58,"0%")&amp;" of income at "&amp;TEXT(Inputs!$B$59,"0.0%")&amp;" gives a mature combined rate of "&amp;TEXT(Inputs!$B$55+Inputs!$B$58*Inputs!$B$59*(1-Inputs!$B$55),"0.00%")&amp;". Covenant: $5B minimum liquidity from Q4 2026 (cash used as proxy)."</f>
        <v>Assumed, not disclosed: state tax on 72% of income at 6.0% gives a mature combined rate of 24.41%. Covenant: $5B minimum liquidity from Q4 2026 (cash used as proxy).</v>
      </c>
    </row>
    <row r="25" customFormat="false" ht="15" hidden="false" customHeight="true" outlineLevel="0" collapsed="false">
      <c r="A25" s="8" t="s">
        <v>83</v>
      </c>
      <c r="B25" s="9" t="s">
        <v>60</v>
      </c>
      <c r="C25" s="9" t="s">
        <v>61</v>
      </c>
      <c r="D25" s="9" t="s">
        <v>62</v>
      </c>
      <c r="E25" s="9"/>
    </row>
    <row r="26" customFormat="false" ht="15" hidden="false" customHeight="true" outlineLevel="0" collapsed="false">
      <c r="A26" s="13" t="s">
        <v>84</v>
      </c>
      <c r="B26" s="14" t="n">
        <f aca="false">IFERROR(Bear!G5/1000,"n/a")</f>
        <v>148.5202368</v>
      </c>
      <c r="C26" s="14" t="n">
        <f aca="false">IFERROR(Base!G5/1000,"n/a")</f>
        <v>283.7534625</v>
      </c>
      <c r="D26" s="14" t="n">
        <f aca="false">IFERROR(Bull!G5/1000,"n/a")</f>
        <v>521.617725</v>
      </c>
    </row>
    <row r="27" customFormat="false" ht="15" hidden="false" customHeight="true" outlineLevel="0" collapsed="false">
      <c r="A27" s="13" t="s">
        <v>85</v>
      </c>
      <c r="B27" s="14" t="n">
        <f aca="false">IFERROR(Bear!G105/1000,"n/a")</f>
        <v>147.777635616</v>
      </c>
      <c r="C27" s="14" t="n">
        <f aca="false">IFERROR(Base!G105/1000,"n/a")</f>
        <v>322.0601799375</v>
      </c>
      <c r="D27" s="14" t="n">
        <f aca="false">IFERROR(Bull!G105/1000,"n/a")</f>
        <v>808.50747375</v>
      </c>
    </row>
    <row r="28" customFormat="false" ht="15" hidden="false" customHeight="true" outlineLevel="0" collapsed="false">
      <c r="A28" s="13" t="s">
        <v>86</v>
      </c>
      <c r="B28" s="14" t="n">
        <f aca="false">IFERROR(Bear!G29/1000,"n/a")</f>
        <v>2.970404736</v>
      </c>
      <c r="C28" s="14" t="n">
        <f aca="false">IFERROR(Base!G29/1000,"n/a")</f>
        <v>51.07562325</v>
      </c>
      <c r="D28" s="14" t="n">
        <f aca="false">IFERROR(Bull!G29/1000,"n/a")</f>
        <v>312.970635</v>
      </c>
    </row>
    <row r="29" customFormat="false" ht="15" hidden="false" customHeight="true" outlineLevel="0" collapsed="false">
      <c r="A29" s="13" t="s">
        <v>87</v>
      </c>
      <c r="B29" s="19" t="n">
        <f aca="false">Bear!G54</f>
        <v>0.0673312585507538</v>
      </c>
      <c r="C29" s="19" t="n">
        <f aca="false">Base!G54</f>
        <v>0.270065796906355</v>
      </c>
      <c r="D29" s="19" t="n">
        <f aca="false">Bull!G54</f>
        <v>0.378101078812075</v>
      </c>
    </row>
    <row r="30" customFormat="false" ht="15" hidden="false" customHeight="true" outlineLevel="0" collapsed="false">
      <c r="A30" s="13" t="s">
        <v>88</v>
      </c>
      <c r="B30" s="19" t="n">
        <f aca="false">Bear!G110</f>
        <v>0.0486637635446196</v>
      </c>
      <c r="C30" s="19" t="n">
        <f aca="false">Base!G110</f>
        <v>0.283413283238985</v>
      </c>
      <c r="D30" s="19" t="n">
        <f aca="false">Bull!G110</f>
        <v>0.464766570604011</v>
      </c>
    </row>
    <row r="31" customFormat="false" ht="15" hidden="false" customHeight="true" outlineLevel="0" collapsed="false">
      <c r="A31" s="13" t="s">
        <v>89</v>
      </c>
      <c r="B31" s="19" t="n">
        <f aca="false">Bear!G19</f>
        <v>0.542267403656604</v>
      </c>
      <c r="C31" s="19" t="n">
        <f aca="false">Base!G19</f>
        <v>0.382949734754338</v>
      </c>
      <c r="D31" s="19" t="n">
        <f aca="false">Bull!G19</f>
        <v>0.317358454795607</v>
      </c>
    </row>
    <row r="32" customFormat="false" ht="15" hidden="false" customHeight="true" outlineLevel="0" collapsed="false">
      <c r="A32" s="13" t="s">
        <v>90</v>
      </c>
      <c r="B32" s="19" t="n">
        <f aca="false">Bear!G126</f>
        <v>0.244128</v>
      </c>
      <c r="C32" s="19" t="n">
        <f aca="false">Base!G126</f>
        <v>0.244128</v>
      </c>
      <c r="D32" s="19" t="n">
        <f aca="false">Bull!G126</f>
        <v>0.244128</v>
      </c>
    </row>
    <row r="33" customFormat="false" ht="15" hidden="false" customHeight="true" outlineLevel="0" collapsed="false">
      <c r="A33" s="13" t="s">
        <v>91</v>
      </c>
      <c r="B33" s="14" t="n">
        <f aca="false">IFERROR(Bear!G27/1000,"n/a")</f>
        <v>29.70404736</v>
      </c>
      <c r="C33" s="14" t="n">
        <f aca="false">IFERROR(Base!G27/1000,"n/a")</f>
        <v>340.504155</v>
      </c>
      <c r="D33" s="14" t="n">
        <f aca="false">IFERROR(Bull!G27/1000,"n/a")</f>
        <v>1564.853175</v>
      </c>
    </row>
    <row r="34" customFormat="false" ht="15" hidden="false" customHeight="true" outlineLevel="0" collapsed="false">
      <c r="A34" s="13" t="s">
        <v>92</v>
      </c>
      <c r="B34" s="22" t="n">
        <f aca="false">Bear!G36</f>
        <v>0.000742601184</v>
      </c>
      <c r="C34" s="22" t="n">
        <f aca="false">Base!G36</f>
        <v>0.008512603875</v>
      </c>
      <c r="D34" s="22" t="n">
        <f aca="false">Bull!G36</f>
        <v>0.039121329375</v>
      </c>
    </row>
    <row r="36" customFormat="false" ht="15" hidden="false" customHeight="true" outlineLevel="0" collapsed="false">
      <c r="A36" s="8" t="s">
        <v>93</v>
      </c>
      <c r="B36" s="9" t="s">
        <v>60</v>
      </c>
      <c r="C36" s="9" t="s">
        <v>61</v>
      </c>
      <c r="D36" s="9" t="s">
        <v>62</v>
      </c>
      <c r="E36" s="9"/>
    </row>
    <row r="37" customFormat="false" ht="15" hidden="false" customHeight="true" outlineLevel="0" collapsed="false">
      <c r="A37" s="10" t="s">
        <v>94</v>
      </c>
      <c r="B37" s="23" t="n">
        <f aca="false">Inputs!$B$122*Inputs!$B$123*(1-Inputs!$B$125-Inputs!$B$126-Inputs!$B$127)-Inputs!$B$124</f>
        <v>-0.38</v>
      </c>
      <c r="C37" s="23" t="n">
        <f aca="false">Inputs!$C$122*Inputs!$C$123*(1-Inputs!$C$125-Inputs!$C$126-Inputs!$C$127)-Inputs!$C$124</f>
        <v>0.36</v>
      </c>
      <c r="D37" s="23" t="n">
        <f aca="false">Inputs!$D$122*Inputs!$D$123*(1-Inputs!$D$125-Inputs!$D$126-Inputs!$D$127)-Inputs!$D$124</f>
        <v>1.408</v>
      </c>
    </row>
    <row r="38" customFormat="false" ht="15" hidden="false" customHeight="true" outlineLevel="0" collapsed="false">
      <c r="A38" s="10" t="s">
        <v>95</v>
      </c>
      <c r="B38" s="23" t="n">
        <f aca="false">(1-Bear!G126)*(Inputs!$B$122*Inputs!$B$123*(1-Inputs!$B$125-Inputs!$B$126-Inputs!$B$127)-Inputs!$B$124-CHOOSE(Inputs!$B$35,Inputs!$F$67*(Inputs!$B$122*Inputs!$B$123-Inputs!$B$124),Inputs!$B$36*Inputs!$B$122*Inputs!$B$123,0))</f>
        <v>-0.283452</v>
      </c>
      <c r="C38" s="23" t="n">
        <f aca="false">(1-Base!G126)*(Inputs!$C$122*Inputs!$C$123*(1-Inputs!$C$125-Inputs!$C$126-Inputs!$C$127)-Inputs!$C$124-CHOOSE(Inputs!$B$35,Inputs!$F$67*(Inputs!$C$122*Inputs!$C$123-Inputs!$C$124),Inputs!$B$36*Inputs!$C$122*Inputs!$C$123,0))</f>
        <v>0.23809968</v>
      </c>
      <c r="D38" s="23" t="n">
        <f aca="false">(1-Bull!G126)*(Inputs!$D$122*Inputs!$D$123*(1-Inputs!$D$125-Inputs!$D$126-Inputs!$D$127)-Inputs!$D$124-CHOOSE(Inputs!$B$35,Inputs!$F$67*(Inputs!$D$122*Inputs!$D$123-Inputs!$D$124),Inputs!$B$36*Inputs!$D$122*Inputs!$D$123,0))</f>
        <v>0.981121856</v>
      </c>
    </row>
    <row r="39" customFormat="false" ht="15" hidden="false" customHeight="true" outlineLevel="0" collapsed="false">
      <c r="A39" s="10" t="s">
        <v>96</v>
      </c>
      <c r="B39" s="15" t="n">
        <f aca="false">IFERROR(Bear!G191/1000-Bear!F191/1000,"n/a")</f>
        <v>-28.0980441136872</v>
      </c>
      <c r="C39" s="15" t="n">
        <f aca="false">IFERROR(Base!G191/1000-Base!F191/1000,"n/a")</f>
        <v>204.974210851482</v>
      </c>
      <c r="D39" s="15" t="n">
        <f aca="false">IFERROR(Bull!G191/1000-Bull!F191/1000,"n/a")</f>
        <v>2931.08283243478</v>
      </c>
    </row>
    <row r="40" customFormat="false" ht="15" hidden="false" customHeight="true" outlineLevel="0" collapsed="false">
      <c r="A40" s="13" t="s">
        <v>97</v>
      </c>
      <c r="B40" s="16" t="n">
        <f aca="false">IFERROR(Inputs!$B$124/(Inputs!$B$122*(1-Inputs!$B$125-Inputs!$B$126-Inputs!$B$127)),0)</f>
        <v>0.416666666666667</v>
      </c>
      <c r="C40" s="16" t="n">
        <f aca="false">IFERROR(Inputs!$C$124/(Inputs!$C$122*(1-Inputs!$C$125-Inputs!$C$126-Inputs!$C$127)),0)</f>
        <v>0.0681818181818182</v>
      </c>
      <c r="D40" s="16" t="n">
        <f aca="false">IFERROR(Inputs!$D$124/(Inputs!$D$122*(1-Inputs!$D$125-Inputs!$D$126-Inputs!$D$127)),0)</f>
        <v>0.0248756218905473</v>
      </c>
    </row>
    <row r="41" customFormat="false" ht="15" hidden="false" customHeight="true" outlineLevel="0" collapsed="false">
      <c r="A41" s="13" t="s">
        <v>98</v>
      </c>
      <c r="B41" s="16" t="n">
        <f aca="false">IFERROR(CHOOSE(Inputs!$B$35,Inputs!$B$124*(1-Inputs!$F$67)/(Inputs!$B$122*((1-Inputs!$B$125-Inputs!$B$126-Inputs!$B$127)-Inputs!$F$67)),Inputs!$B$124/(Inputs!$B$122*((1-Inputs!$B$125-Inputs!$B$126-Inputs!$B$127)-Inputs!$B$36)),Inputs!$B$124/(Inputs!$B$122*(1-Inputs!$B$125-Inputs!$B$126-Inputs!$B$127))),"n/a")</f>
        <v>0.475</v>
      </c>
      <c r="C41" s="16" t="n">
        <f aca="false">IFERROR(CHOOSE(Inputs!$B$35,Inputs!$C$124*(1-Inputs!$F$67)/(Inputs!$C$122*((1-Inputs!$C$125-Inputs!$C$126-Inputs!$C$127)-Inputs!$F$67)),Inputs!$C$124/(Inputs!$C$122*((1-Inputs!$C$125-Inputs!$C$126-Inputs!$C$127)-Inputs!$B$36)),Inputs!$C$124/(Inputs!$C$122*(1-Inputs!$C$125-Inputs!$C$126-Inputs!$C$127))),"n/a")</f>
        <v>0.07125</v>
      </c>
      <c r="D41" s="16" t="n">
        <f aca="false">IFERROR(CHOOSE(Inputs!$B$35,Inputs!$D$124*(1-Inputs!$F$67)/(Inputs!$D$122*((1-Inputs!$D$125-Inputs!$D$126-Inputs!$D$127)-Inputs!$F$67)),Inputs!$D$124/(Inputs!$D$122*((1-Inputs!$D$125-Inputs!$D$126-Inputs!$D$127)-Inputs!$B$36)),Inputs!$D$124/(Inputs!$D$122*(1-Inputs!$D$125-Inputs!$D$126-Inputs!$D$127))),"n/a")</f>
        <v>0.0255376344086022</v>
      </c>
    </row>
    <row r="42" customFormat="false" ht="15" hidden="false" customHeight="true" outlineLevel="0" collapsed="false">
      <c r="A42" s="13" t="s">
        <v>99</v>
      </c>
      <c r="B42" s="19" t="n">
        <f aca="false">Inputs!$B$123</f>
        <v>0.1</v>
      </c>
      <c r="C42" s="19" t="n">
        <f aca="false">Inputs!$C$123</f>
        <v>0.15</v>
      </c>
      <c r="D42" s="19" t="n">
        <f aca="false">Inputs!$D$123</f>
        <v>0.2</v>
      </c>
    </row>
    <row r="43" customFormat="false" ht="15" hidden="false" customHeight="true" outlineLevel="0" collapsed="false">
      <c r="A43" s="6" t="s">
        <v>100</v>
      </c>
    </row>
    <row r="44" customFormat="false" ht="15" hidden="false" customHeight="true" outlineLevel="0" collapsed="false">
      <c r="A44" s="10" t="s">
        <v>101</v>
      </c>
      <c r="B44" s="23" t="n">
        <f aca="false">IFERROR((Bear!G132-Bear!G130-(Bear!G76-Bear!G74))/Bear!G25,"n/a")</f>
        <v>-0.282666816856187</v>
      </c>
      <c r="C44" s="23" t="n">
        <f aca="false">IFERROR((Base!G132-Base!G130-(Base!G76-Base!G74))/Base!G25,"n/a")</f>
        <v>0.231006492834408</v>
      </c>
      <c r="D44" s="23" t="n">
        <f aca="false">IFERROR((Bull!G132-Bull!G130-(Bull!G76-Bull!G74))/Bull!G25,"n/a")</f>
        <v>0.963752533912757</v>
      </c>
    </row>
    <row r="45" customFormat="false" ht="15" hidden="false" customHeight="true" outlineLevel="0" collapsed="false">
      <c r="A45" s="8" t="s">
        <v>102</v>
      </c>
      <c r="B45" s="9" t="s">
        <v>103</v>
      </c>
      <c r="C45" s="9" t="s">
        <v>104</v>
      </c>
      <c r="D45" s="9"/>
      <c r="E45" s="9"/>
    </row>
    <row r="46" customFormat="false" ht="15" hidden="false" customHeight="true" outlineLevel="0" collapsed="false">
      <c r="A46" s="13" t="s">
        <v>105</v>
      </c>
      <c r="B46" s="24" t="n">
        <f aca="false">Inputs!$B$22/1000</f>
        <v>1500</v>
      </c>
      <c r="C46" s="24" t="n">
        <f aca="false">Inputs!$B$28/1000</f>
        <v>2000</v>
      </c>
    </row>
    <row r="47" customFormat="false" ht="15" hidden="false" customHeight="true" outlineLevel="0" collapsed="false">
      <c r="A47" s="13" t="s">
        <v>106</v>
      </c>
      <c r="B47" s="25" t="n">
        <f aca="false">IFERROR(B46*1000/Inputs!$B$18,0)</f>
        <v>83.6257439413081</v>
      </c>
      <c r="C47" s="25" t="n">
        <f aca="false">IFERROR(C46*1000/Inputs!$B$18,0)</f>
        <v>111.500991921744</v>
      </c>
    </row>
    <row r="48" customFormat="false" ht="15" hidden="false" customHeight="true" outlineLevel="0" collapsed="false">
      <c r="A48" s="13" t="s">
        <v>107</v>
      </c>
      <c r="B48" s="16" t="n">
        <f aca="false">IFERROR($E$5/B47-1,"n/a")</f>
        <v>0.502784512629089</v>
      </c>
      <c r="C48" s="16" t="n">
        <f aca="false">IFERROR($E$5/C47-1,"n/a")</f>
        <v>0.127088384471817</v>
      </c>
    </row>
    <row r="49" customFormat="false" ht="15" hidden="false" customHeight="true" outlineLevel="0" collapsed="false">
      <c r="A49" s="13" t="s">
        <v>108</v>
      </c>
      <c r="B49" s="16" t="n">
        <f aca="false">IFERROR($C$5/B47-1,"n/a")</f>
        <v>-0.0423404033579323</v>
      </c>
      <c r="C49" s="16" t="n">
        <f aca="false">IFERROR($C$5/C47-1,"n/a")</f>
        <v>-0.281755302518449</v>
      </c>
    </row>
    <row r="50" customFormat="false" ht="15" hidden="false" customHeight="true" outlineLevel="0" collapsed="false">
      <c r="A50" s="13" t="s">
        <v>109</v>
      </c>
      <c r="B50" s="16" t="n">
        <f aca="false">IFERROR($C$6/B47-1,"n/a")</f>
        <v>-0.178989877258921</v>
      </c>
      <c r="C50" s="16" t="n">
        <f aca="false">IFERROR($C$6/C47-1,"n/a")</f>
        <v>-0.384242407944191</v>
      </c>
    </row>
    <row r="52" customFormat="false" ht="15" hidden="false" customHeight="true" outlineLevel="0" collapsed="false">
      <c r="A52" s="8" t="s">
        <v>110</v>
      </c>
      <c r="B52" s="9" t="s">
        <v>75</v>
      </c>
      <c r="C52" s="9"/>
      <c r="D52" s="9"/>
      <c r="E52" s="9"/>
    </row>
    <row r="53" customFormat="false" ht="15" hidden="false" customHeight="true" outlineLevel="0" collapsed="false">
      <c r="A53" s="13" t="s">
        <v>111</v>
      </c>
      <c r="B53" s="26" t="n">
        <f aca="false">C46</f>
        <v>2000</v>
      </c>
    </row>
    <row r="54" customFormat="false" ht="15" hidden="false" customHeight="true" outlineLevel="0" collapsed="false">
      <c r="A54" s="13" t="s">
        <v>112</v>
      </c>
      <c r="B54" s="27" t="n">
        <f aca="false">C7</f>
        <v>1436.4893949631</v>
      </c>
    </row>
    <row r="55" customFormat="false" ht="15" hidden="false" customHeight="true" outlineLevel="0" collapsed="false">
      <c r="A55" s="13" t="s">
        <v>113</v>
      </c>
      <c r="B55" s="27" t="n">
        <f aca="false">IFERROR(B53-B54,"n/a")</f>
        <v>563.510605036899</v>
      </c>
    </row>
    <row r="56" customFormat="false" ht="15" hidden="false" customHeight="true" outlineLevel="0" collapsed="false">
      <c r="A56" s="13" t="s">
        <v>114</v>
      </c>
      <c r="B56" s="27" t="n">
        <f aca="false">IFERROR(C7-C8,"n/a")</f>
        <v>204.974210851482</v>
      </c>
    </row>
    <row r="57" customFormat="false" ht="15" hidden="false" customHeight="true" outlineLevel="0" collapsed="false">
      <c r="A57" s="13" t="s">
        <v>115</v>
      </c>
      <c r="B57" s="28" t="n">
        <f aca="false">IF(NOT(ISNUMBER(B56)),"n/a",IF(B56&lt;=0,"n/a",MAX(0,1+B55/B56)))</f>
        <v>3.74917806828489</v>
      </c>
    </row>
    <row r="58" customFormat="false" ht="15" hidden="false" customHeight="true" outlineLevel="0" collapsed="false">
      <c r="A58" s="13" t="s">
        <v>116</v>
      </c>
      <c r="B58" s="16" t="n">
        <f aca="false">IF(ISNUMBER(B57),Inputs!$C$121*B57,"n/a")</f>
        <v>0.562376710242734</v>
      </c>
    </row>
    <row r="59" customFormat="false" ht="15" hidden="false" customHeight="true" outlineLevel="0" collapsed="false">
      <c r="A59" s="13" t="s">
        <v>117</v>
      </c>
      <c r="B59" s="19" t="n">
        <f aca="false">Inputs!$C$121</f>
        <v>0.15</v>
      </c>
    </row>
    <row r="60" customFormat="false" ht="15" hidden="false" customHeight="true" outlineLevel="0" collapsed="false">
      <c r="A60" s="13" t="s">
        <v>118</v>
      </c>
      <c r="B60" s="29" t="str">
        <f aca="false">IF(AND(Base!D67=0,Base!D123=0,Base!D62=0,Base!D118=0,Base!G90=0,Base!G146=0,Base!G109&gt;0,Base!D53&gt;0),"Yes","Approximate — verify")</f>
        <v>Yes</v>
      </c>
    </row>
    <row r="61" customFormat="false" ht="15" hidden="false" customHeight="true" outlineLevel="0" collapsed="false">
      <c r="A61" s="6" t="s">
        <v>119</v>
      </c>
    </row>
    <row r="63" customFormat="false" ht="15" hidden="false" customHeight="true" outlineLevel="0" collapsed="false">
      <c r="A63" s="8" t="s">
        <v>120</v>
      </c>
      <c r="B63" s="9" t="s">
        <v>121</v>
      </c>
      <c r="C63" s="9" t="s">
        <v>122</v>
      </c>
      <c r="D63" s="9" t="s">
        <v>123</v>
      </c>
      <c r="E63" s="9" t="s">
        <v>124</v>
      </c>
    </row>
    <row r="64" customFormat="false" ht="15" hidden="false" customHeight="true" outlineLevel="0" collapsed="false">
      <c r="A64" s="13" t="s">
        <v>125</v>
      </c>
      <c r="B64" s="11" t="n">
        <f aca="false">Base!G189</f>
        <v>80.084996211726</v>
      </c>
      <c r="C64" s="11" t="n">
        <f aca="false">T21!G189</f>
        <v>83.4898475732002</v>
      </c>
      <c r="D64" s="11" t="n">
        <f aca="false">T25!G189</f>
        <v>79.3881894578036</v>
      </c>
      <c r="E64" s="11" t="n">
        <f aca="false">T28!G189</f>
        <v>76.3119458712562</v>
      </c>
    </row>
    <row r="65" customFormat="false" ht="15" hidden="false" customHeight="true" outlineLevel="0" collapsed="false">
      <c r="A65" s="13" t="s">
        <v>126</v>
      </c>
      <c r="B65" s="11" t="n">
        <f aca="false">Base!F189</f>
        <v>68.6575822975675</v>
      </c>
      <c r="C65" s="11" t="n">
        <f aca="false">T21!F189</f>
        <v>71.5150627001166</v>
      </c>
      <c r="D65" s="11" t="n">
        <f aca="false">T25!F189</f>
        <v>68.0552627714646</v>
      </c>
      <c r="E65" s="11" t="n">
        <f aca="false">T28!F189</f>
        <v>65.4604128249756</v>
      </c>
    </row>
    <row r="66" customFormat="false" ht="15" hidden="false" customHeight="true" outlineLevel="0" collapsed="false">
      <c r="A66" s="6" t="s">
        <v>127</v>
      </c>
    </row>
    <row r="68" customFormat="false" ht="15" hidden="false" customHeight="true" outlineLevel="0" collapsed="false">
      <c r="A68" s="8" t="s">
        <v>128</v>
      </c>
      <c r="B68" s="9" t="s">
        <v>75</v>
      </c>
      <c r="C68" s="9"/>
      <c r="D68" s="9"/>
      <c r="E68" s="9"/>
    </row>
    <row r="69" customFormat="false" ht="15" hidden="false" customHeight="true" outlineLevel="0" collapsed="false">
      <c r="A69" s="13" t="s">
        <v>129</v>
      </c>
      <c r="B69" s="14" t="n">
        <f aca="false">Historicals!H5/1000</f>
        <v>16.956</v>
      </c>
    </row>
    <row r="70" customFormat="false" ht="15" hidden="false" customHeight="true" outlineLevel="0" collapsed="false">
      <c r="A70" s="13" t="s">
        <v>130</v>
      </c>
      <c r="B70" s="19" t="n">
        <f aca="false">Historicals!H27</f>
        <v>-0.0334394904458599</v>
      </c>
    </row>
    <row r="71" customFormat="false" ht="15" hidden="false" customHeight="true" outlineLevel="0" collapsed="false">
      <c r="A71" s="13" t="s">
        <v>131</v>
      </c>
      <c r="B71" s="19" t="n">
        <f aca="false">Historicals!H28</f>
        <v>0.0296650153338051</v>
      </c>
    </row>
    <row r="72" customFormat="false" ht="15" hidden="false" customHeight="true" outlineLevel="0" collapsed="false">
      <c r="A72" s="13" t="s">
        <v>132</v>
      </c>
      <c r="B72" s="19" t="n">
        <f aca="false">Historicals!H23</f>
        <v>0.581682000471809</v>
      </c>
    </row>
    <row r="73" customFormat="false" ht="15" hidden="false" customHeight="true" outlineLevel="0" collapsed="false">
      <c r="A73" s="13" t="s">
        <v>133</v>
      </c>
      <c r="B73" s="19" t="n">
        <f aca="false">Historicals!F61</f>
        <v>0.211654181505588</v>
      </c>
    </row>
    <row r="74" customFormat="false" ht="15" hidden="false" customHeight="true" outlineLevel="0" collapsed="false">
      <c r="A74" s="13" t="s">
        <v>134</v>
      </c>
      <c r="B74" s="14" t="n">
        <f aca="false">Historicals!G31/1000</f>
        <v>6.824</v>
      </c>
    </row>
    <row r="75" customFormat="false" ht="15" hidden="false" customHeight="true" outlineLevel="0" collapsed="false">
      <c r="A75" s="13" t="s">
        <v>135</v>
      </c>
      <c r="B75" s="14" t="n">
        <f aca="false">Historicals!H31/1000</f>
        <v>5.401</v>
      </c>
    </row>
    <row r="77" customFormat="false" ht="15" hidden="false" customHeight="true" outlineLevel="0" collapsed="false">
      <c r="A77" s="8" t="s">
        <v>136</v>
      </c>
      <c r="B77" s="9" t="s">
        <v>75</v>
      </c>
      <c r="C77" s="9"/>
      <c r="D77" s="9"/>
      <c r="E77" s="9"/>
      <c r="F77" s="9"/>
    </row>
    <row r="78" customFormat="false" ht="15" hidden="false" customHeight="true" outlineLevel="0" collapsed="false">
      <c r="A78" s="13" t="s">
        <v>137</v>
      </c>
      <c r="B78" s="14" t="n">
        <f aca="false">Inputs!$B$42/1000</f>
        <v>895.4</v>
      </c>
    </row>
    <row r="79" customFormat="false" ht="15" hidden="false" customHeight="true" outlineLevel="0" collapsed="false">
      <c r="A79" s="13" t="s">
        <v>138</v>
      </c>
      <c r="B79" s="14" t="n">
        <f aca="false">Inputs!$B$43/1000</f>
        <v>447.5</v>
      </c>
    </row>
    <row r="80" customFormat="false" ht="15" hidden="false" customHeight="true" outlineLevel="0" collapsed="false">
      <c r="A80" s="13" t="s">
        <v>139</v>
      </c>
      <c r="B80" s="14" t="n">
        <f aca="false">SUM(Inputs!B69:F69)/1000</f>
        <v>171.575</v>
      </c>
    </row>
    <row r="81" customFormat="false" ht="15" hidden="false" customHeight="true" outlineLevel="0" collapsed="false">
      <c r="A81" s="13" t="s">
        <v>140</v>
      </c>
      <c r="B81" s="14" t="n">
        <f aca="false">Inputs!$B$47/1000</f>
        <v>24</v>
      </c>
    </row>
    <row r="82" customFormat="false" ht="15" hidden="false" customHeight="true" outlineLevel="0" collapsed="false">
      <c r="A82" s="13" t="s">
        <v>141</v>
      </c>
      <c r="B82" s="14" t="n">
        <f aca="false">Inputs!$B$70/1000</f>
        <v>251.925</v>
      </c>
    </row>
    <row r="83" customFormat="false" ht="15" hidden="false" customHeight="true" outlineLevel="0" collapsed="false">
      <c r="A83" s="13" t="s">
        <v>142</v>
      </c>
      <c r="B83" s="14" t="n">
        <f aca="false">(Base!C10-Historicals!F36-Historicals!H6+SUM(Base!D10:G10))/1000</f>
        <v>326.3606442</v>
      </c>
    </row>
    <row r="84" customFormat="false" ht="15" hidden="false" customHeight="true" outlineLevel="0" collapsed="false">
      <c r="A84" s="13" t="s">
        <v>143</v>
      </c>
      <c r="B84" s="14" t="n">
        <f aca="false">B79-B83</f>
        <v>121.1393558</v>
      </c>
    </row>
    <row r="86" customFormat="false" ht="15" hidden="false" customHeight="true" outlineLevel="0" collapsed="false">
      <c r="A86" s="8" t="s">
        <v>144</v>
      </c>
      <c r="B86" s="9" t="s">
        <v>145</v>
      </c>
      <c r="C86" s="9" t="s">
        <v>146</v>
      </c>
      <c r="D86" s="9" t="s">
        <v>147</v>
      </c>
      <c r="E86" s="9" t="s">
        <v>148</v>
      </c>
      <c r="F86" s="9" t="s">
        <v>149</v>
      </c>
    </row>
    <row r="87" customFormat="false" ht="15" hidden="false" customHeight="true" outlineLevel="0" collapsed="false">
      <c r="A87" s="10" t="s">
        <v>150</v>
      </c>
      <c r="B87" s="11" t="n">
        <f aca="false">S8!G189</f>
        <v>71.3573736540587</v>
      </c>
      <c r="C87" s="11" t="n">
        <f aca="false">S8E!G189</f>
        <v>79.1505368732928</v>
      </c>
      <c r="D87" s="11" t="n">
        <f aca="false">S8L!G189</f>
        <v>47.3369851344482</v>
      </c>
      <c r="E87" s="11" t="n">
        <f aca="false">S9!G189</f>
        <v>78.6373374427995</v>
      </c>
      <c r="F87" s="11" t="n">
        <f aca="false">S10!G189</f>
        <v>87.526613941313</v>
      </c>
    </row>
    <row r="88" customFormat="false" ht="15" hidden="false" customHeight="true" outlineLevel="0" collapsed="false">
      <c r="A88" s="13" t="s">
        <v>151</v>
      </c>
      <c r="B88" s="11" t="n">
        <f aca="false">S8!F189</f>
        <v>61.2519117628553</v>
      </c>
      <c r="C88" s="11" t="n">
        <f aca="false">S8E!F189</f>
        <v>70.0340403915676</v>
      </c>
      <c r="D88" s="11" t="n">
        <f aca="false">S8L!F189</f>
        <v>35.9031320266283</v>
      </c>
      <c r="E88" s="11" t="n">
        <f aca="false">S9!F189</f>
        <v>67.2070060989918</v>
      </c>
      <c r="F88" s="11" t="n">
        <f aca="false">S10!F189</f>
        <v>76.0992739908517</v>
      </c>
    </row>
    <row r="89" customFormat="false" ht="15" hidden="false" customHeight="true" outlineLevel="0" collapsed="false">
      <c r="A89" s="13" t="s">
        <v>152</v>
      </c>
      <c r="B89" s="14" t="n">
        <f aca="false">IFERROR(S8!G191/1000,"unresolved")</f>
        <v>1279.94150409245</v>
      </c>
      <c r="C89" s="14" t="n">
        <f aca="false">IFERROR(S8E!G191/1000,"unresolved")</f>
        <v>1419.72794159255</v>
      </c>
      <c r="D89" s="14" t="n">
        <f aca="false">IFERROR(S8L!G191/1000,"unresolved")</f>
        <v>849.086350149623</v>
      </c>
      <c r="E89" s="14" t="n">
        <f aca="false">IFERROR(S9!G191/1000,"unresolved")</f>
        <v>1410.52265253371</v>
      </c>
      <c r="F89" s="14" t="n">
        <f aca="false">IFERROR(S10!G191/1000,"unresolved")</f>
        <v>1569.97013986643</v>
      </c>
    </row>
    <row r="90" customFormat="false" ht="15" hidden="false" customHeight="true" outlineLevel="0" collapsed="false">
      <c r="A90" s="13" t="s">
        <v>153</v>
      </c>
      <c r="B90" s="14" t="n">
        <f aca="false">(S8!C10-Historicals!F36-Historicals!H6+SUM(S8!D10:G10))/1000</f>
        <v>447.5</v>
      </c>
      <c r="C90" s="14" t="n">
        <f aca="false">(S8E!C10-Historicals!F36-Historicals!H6+SUM(S8E!D10:G10))/1000</f>
        <v>460.7083132</v>
      </c>
      <c r="D90" s="14" t="n">
        <f aca="false">(S8L!C10-Historicals!F36-Historicals!H6+SUM(S8L!D10:G10))/1000</f>
        <v>447.5</v>
      </c>
      <c r="E90" s="14" t="n">
        <f aca="false">(S9!C10-Historicals!F36-Historicals!H6+SUM(S9!D10:G10))/1000</f>
        <v>364.631934374224</v>
      </c>
      <c r="F90" s="14" t="n">
        <f aca="false">(S10!C10-Historicals!F36-Historicals!H6+SUM(S10!D10:G10))/1000</f>
        <v>301.32001548</v>
      </c>
    </row>
    <row r="91" customFormat="false" ht="15" hidden="false" customHeight="true" outlineLevel="0" collapsed="false">
      <c r="A91" s="13" t="s">
        <v>154</v>
      </c>
      <c r="B91" s="19" t="n">
        <f aca="false">S8!G19</f>
        <v>0.402988474545927</v>
      </c>
      <c r="C91" s="19" t="n">
        <f aca="false">S8E!G19</f>
        <v>0.382949734754338</v>
      </c>
      <c r="D91" s="19" t="n">
        <f aca="false">S8L!G19</f>
        <v>0.513967296522417</v>
      </c>
      <c r="E91" s="19" t="n">
        <f aca="false">S9!G19</f>
        <v>0.382949734754338</v>
      </c>
      <c r="F91" s="19" t="n">
        <f aca="false">S10!G19</f>
        <v>0.352691041012407</v>
      </c>
    </row>
    <row r="92" customFormat="false" ht="15" hidden="false" customHeight="true" outlineLevel="0" collapsed="false">
      <c r="A92" s="13" t="s">
        <v>155</v>
      </c>
      <c r="B92" s="19" t="n">
        <f aca="false">S8!G54</f>
        <v>0.250027057114766</v>
      </c>
      <c r="C92" s="19" t="n">
        <f aca="false">S8E!G54</f>
        <v>0.270065796906355</v>
      </c>
      <c r="D92" s="19" t="n">
        <f aca="false">S8L!G54</f>
        <v>0.139048235138276</v>
      </c>
      <c r="E92" s="19" t="n">
        <f aca="false">S9!G54</f>
        <v>0.270065796906355</v>
      </c>
      <c r="F92" s="19" t="n">
        <f aca="false">S10!G54</f>
        <v>0.300324490648286</v>
      </c>
    </row>
    <row r="93" customFormat="false" ht="15" hidden="false" customHeight="true" outlineLevel="0" collapsed="false">
      <c r="A93" s="13" t="s">
        <v>156</v>
      </c>
      <c r="B93" s="19" t="n">
        <f aca="false">S8!G172</f>
        <v>0.983506569114048</v>
      </c>
      <c r="C93" s="19" t="n">
        <f aca="false">S8E!G172</f>
        <v>0.99399737309037</v>
      </c>
      <c r="D93" s="19" t="n">
        <f aca="false">S8L!G172</f>
        <v>0.964712654645981</v>
      </c>
      <c r="E93" s="19" t="n">
        <f aca="false">S9!G172</f>
        <v>0.949183208089223</v>
      </c>
      <c r="F93" s="19" t="n">
        <f aca="false">S10!G172</f>
        <v>0.928835887527333</v>
      </c>
    </row>
    <row r="94" customFormat="false" ht="15" hidden="false" customHeight="true" outlineLevel="0" collapsed="false">
      <c r="A94" s="13" t="s">
        <v>157</v>
      </c>
      <c r="B94" s="17" t="str">
        <f aca="false">S8!G183</f>
        <v>No raise needed</v>
      </c>
      <c r="C94" s="17" t="str">
        <f aca="false">S8E!G183</f>
        <v>No raise needed</v>
      </c>
      <c r="D94" s="17" t="str">
        <f aca="false">S8L!G183</f>
        <v>No raise needed</v>
      </c>
      <c r="E94" s="17" t="str">
        <f aca="false">S9!G183</f>
        <v>No raise needed</v>
      </c>
      <c r="F94" s="17" t="str">
        <f aca="false">S10!G183</f>
        <v>No raise needed</v>
      </c>
    </row>
    <row r="95" customFormat="false" ht="15" hidden="false" customHeight="true" outlineLevel="0" collapsed="false">
      <c r="A95" s="6" t="s">
        <v>158</v>
      </c>
    </row>
    <row r="96" customFormat="false" ht="15" hidden="false" customHeight="true" outlineLevel="0" collapsed="false">
      <c r="A96" s="6" t="s">
        <v>159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 collapsed="false" customWidth="true" hidden="false" outlineLevel="0" max="4" min="2" style="0" width="24"/>
  </cols>
  <sheetData>
    <row r="1" customFormat="false" ht="17.35" hidden="false" customHeight="false" outlineLevel="0" collapsed="false">
      <c r="A1" s="1" t="s">
        <v>160</v>
      </c>
    </row>
    <row r="2" customFormat="false" ht="15" hidden="false" customHeight="false" outlineLevel="0" collapsed="false">
      <c r="A2" s="30" t="s">
        <v>161</v>
      </c>
    </row>
    <row r="4" customFormat="false" ht="15" hidden="false" customHeight="false" outlineLevel="0" collapsed="false">
      <c r="A4" s="31" t="s">
        <v>162</v>
      </c>
      <c r="B4" s="31" t="s">
        <v>163</v>
      </c>
    </row>
    <row r="5" customFormat="false" ht="15" hidden="false" customHeight="false" outlineLevel="0" collapsed="false">
      <c r="A5" s="3" t="s">
        <v>164</v>
      </c>
      <c r="B5" s="3" t="s">
        <v>165</v>
      </c>
    </row>
    <row r="6" customFormat="false" ht="15" hidden="false" customHeight="false" outlineLevel="0" collapsed="false">
      <c r="A6" s="3" t="s">
        <v>166</v>
      </c>
      <c r="B6" s="3" t="s">
        <v>167</v>
      </c>
    </row>
    <row r="7" customFormat="false" ht="15" hidden="false" customHeight="false" outlineLevel="0" collapsed="false">
      <c r="A7" s="3" t="s">
        <v>168</v>
      </c>
      <c r="B7" s="3" t="s">
        <v>169</v>
      </c>
    </row>
    <row r="8" customFormat="false" ht="15" hidden="false" customHeight="false" outlineLevel="0" collapsed="false">
      <c r="A8" s="3" t="s">
        <v>170</v>
      </c>
      <c r="B8" s="3" t="s">
        <v>171</v>
      </c>
    </row>
    <row r="9" customFormat="false" ht="15" hidden="false" customHeight="false" outlineLevel="0" collapsed="false">
      <c r="A9" s="3" t="s">
        <v>172</v>
      </c>
      <c r="B9" s="3" t="s">
        <v>173</v>
      </c>
    </row>
    <row r="10" customFormat="false" ht="15" hidden="false" customHeight="false" outlineLevel="0" collapsed="false">
      <c r="A10" s="3" t="s">
        <v>174</v>
      </c>
      <c r="B10" s="3" t="s">
        <v>175</v>
      </c>
    </row>
    <row r="11" customFormat="false" ht="15" hidden="false" customHeight="false" outlineLevel="0" collapsed="false">
      <c r="A11" s="3" t="s">
        <v>176</v>
      </c>
      <c r="B11" s="3" t="s">
        <v>177</v>
      </c>
    </row>
    <row r="13" customFormat="false" ht="15" hidden="false" customHeight="false" outlineLevel="0" collapsed="false">
      <c r="A13" s="31" t="s">
        <v>178</v>
      </c>
      <c r="B13" s="31" t="s">
        <v>163</v>
      </c>
    </row>
    <row r="14" customFormat="false" ht="15" hidden="false" customHeight="false" outlineLevel="0" collapsed="false">
      <c r="A14" s="3" t="s">
        <v>179</v>
      </c>
      <c r="B14" s="3" t="s">
        <v>180</v>
      </c>
    </row>
    <row r="15" customFormat="false" ht="15" hidden="false" customHeight="false" outlineLevel="0" collapsed="false">
      <c r="A15" s="3" t="s">
        <v>181</v>
      </c>
      <c r="B15" s="3" t="s">
        <v>182</v>
      </c>
    </row>
    <row r="16" customFormat="false" ht="15" hidden="false" customHeight="false" outlineLevel="0" collapsed="false">
      <c r="A16" s="3" t="s">
        <v>183</v>
      </c>
      <c r="B16" s="3" t="s">
        <v>184</v>
      </c>
    </row>
    <row r="18" customFormat="false" ht="15" hidden="false" customHeight="false" outlineLevel="0" collapsed="false">
      <c r="A18" s="31" t="s">
        <v>185</v>
      </c>
      <c r="B18" s="31" t="s">
        <v>186</v>
      </c>
      <c r="C18" s="31" t="s">
        <v>187</v>
      </c>
      <c r="D18" s="31" t="s">
        <v>188</v>
      </c>
    </row>
    <row r="19" customFormat="false" ht="15" hidden="false" customHeight="false" outlineLevel="0" collapsed="false">
      <c r="A19" s="3" t="s">
        <v>189</v>
      </c>
      <c r="B19" s="3" t="s">
        <v>190</v>
      </c>
      <c r="C19" s="32" t="n">
        <f aca="false">Historicals!H5</f>
        <v>16956</v>
      </c>
      <c r="D19" s="3" t="str">
        <f aca="false">IF(C19=16956,"Pass","Review")</f>
        <v>Pass</v>
      </c>
    </row>
    <row r="20" customFormat="false" ht="15" hidden="false" customHeight="false" outlineLevel="0" collapsed="false">
      <c r="A20" s="3" t="s">
        <v>191</v>
      </c>
      <c r="B20" s="3" t="s">
        <v>192</v>
      </c>
      <c r="C20" s="32" t="n">
        <f aca="false">Inputs!B71</f>
        <v>-7</v>
      </c>
      <c r="D20" s="3" t="str">
        <f aca="false">IF(ABS(C20)&lt;100,"Pass","Review")</f>
        <v>Pass</v>
      </c>
    </row>
    <row r="21" customFormat="false" ht="15" hidden="false" customHeight="false" outlineLevel="0" collapsed="false">
      <c r="A21" s="3" t="s">
        <v>193</v>
      </c>
      <c r="B21" s="3" t="s">
        <v>194</v>
      </c>
      <c r="C21" s="32" t="n">
        <f aca="false">SUM(S8!C22:G22)/1000</f>
        <v>447.5</v>
      </c>
      <c r="D21" s="3" t="str">
        <f aca="false">IF(ABS(C21-447.5)&lt;0.01,"Pass","Review")</f>
        <v>Pass</v>
      </c>
    </row>
    <row r="22" customFormat="false" ht="15" hidden="false" customHeight="false" outlineLevel="0" collapsed="false">
      <c r="A22" s="3" t="s">
        <v>195</v>
      </c>
      <c r="B22" s="3" t="s">
        <v>196</v>
      </c>
      <c r="C22" s="32" t="n">
        <f aca="false">S8!C10-Historicals!F36-Historicals!H6-S8!C22</f>
        <v>0</v>
      </c>
      <c r="D22" s="3" t="str">
        <f aca="false">IF(ABS(C22)&lt;0.01,"Pass","Review")</f>
        <v>Pass</v>
      </c>
    </row>
    <row r="23" customFormat="false" ht="15" hidden="false" customHeight="false" outlineLevel="0" collapsed="false">
      <c r="A23" s="3" t="s">
        <v>197</v>
      </c>
      <c r="B23" s="3" t="s">
        <v>198</v>
      </c>
      <c r="C23" s="32" t="n">
        <f aca="false">SUM(Base!D10:G10)-SUM(Base!D9:G9)</f>
        <v>0</v>
      </c>
      <c r="D23" s="3" t="str">
        <f aca="false">IF(ABS(C23)&lt;0.001,"Pass","Review")</f>
        <v>Pass</v>
      </c>
    </row>
    <row r="24" customFormat="false" ht="15" hidden="false" customHeight="false" outlineLevel="0" collapsed="false">
      <c r="A24" s="3" t="s">
        <v>199</v>
      </c>
      <c r="B24" s="3" t="s">
        <v>198</v>
      </c>
      <c r="C24" s="32" t="n">
        <f aca="false">S10!C10-Base!C10</f>
        <v>0</v>
      </c>
      <c r="D24" s="3" t="str">
        <f aca="false">IF(ABS(C24)&lt;0.001,"Pass","Review")</f>
        <v>Pass</v>
      </c>
    </row>
    <row r="25" customFormat="false" ht="15" hidden="false" customHeight="false" outlineLevel="0" collapsed="false">
      <c r="A25" s="3" t="s">
        <v>200</v>
      </c>
      <c r="B25" s="3" t="s">
        <v>201</v>
      </c>
      <c r="C25" s="32" t="n">
        <f aca="false">Base!C136</f>
        <v>131845</v>
      </c>
      <c r="D25" s="3" t="str">
        <f aca="false">IF(C25=131845,"Pass","Review")</f>
        <v>Pass</v>
      </c>
    </row>
    <row r="26" customFormat="false" ht="15" hidden="false" customHeight="false" outlineLevel="0" collapsed="false">
      <c r="A26" s="3" t="s">
        <v>202</v>
      </c>
      <c r="B26" s="3" t="s">
        <v>203</v>
      </c>
      <c r="C26" s="32" t="n">
        <f aca="false">Inputs!B18</f>
        <v>17937.06016</v>
      </c>
      <c r="D26" s="3" t="str">
        <f aca="false">IF(ABS(C26-17937.06)&lt;0.1,"Pass","Review")</f>
        <v>Pass</v>
      </c>
    </row>
    <row r="28" customFormat="false" ht="15" hidden="false" customHeight="false" outlineLevel="0" collapsed="false">
      <c r="A28" s="31" t="s">
        <v>204</v>
      </c>
      <c r="B28" s="31"/>
    </row>
    <row r="29" customFormat="false" ht="15" hidden="false" customHeight="false" outlineLevel="0" collapsed="false">
      <c r="A29" s="3" t="s">
        <v>205</v>
      </c>
    </row>
    <row r="30" customFormat="false" ht="15" hidden="false" customHeight="false" outlineLevel="0" collapsed="false">
      <c r="A30" s="3" t="s">
        <v>206</v>
      </c>
    </row>
    <row r="31" customFormat="false" ht="15" hidden="false" customHeight="false" outlineLevel="0" collapsed="false">
      <c r="A31" s="3" t="s">
        <v>207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58"/>
    <col collapsed="false" customWidth="true" hidden="false" outlineLevel="0" max="8" min="2" style="4" width="14"/>
  </cols>
  <sheetData>
    <row r="1" customFormat="false" ht="17.25" hidden="false" customHeight="true" outlineLevel="0" collapsed="false">
      <c r="A1" s="5" t="s">
        <v>208</v>
      </c>
    </row>
    <row r="2" customFormat="false" ht="15" hidden="false" customHeight="true" outlineLevel="0" collapsed="false">
      <c r="A2" s="6" t="s">
        <v>209</v>
      </c>
    </row>
    <row r="4" customFormat="false" ht="15" hidden="false" customHeight="true" outlineLevel="0" collapsed="false">
      <c r="A4" s="8" t="s">
        <v>210</v>
      </c>
      <c r="B4" s="9" t="s">
        <v>211</v>
      </c>
      <c r="C4" s="9" t="s">
        <v>212</v>
      </c>
      <c r="D4" s="9" t="s">
        <v>213</v>
      </c>
      <c r="E4" s="9" t="s">
        <v>214</v>
      </c>
      <c r="F4" s="9" t="s">
        <v>215</v>
      </c>
      <c r="G4" s="9" t="s">
        <v>216</v>
      </c>
      <c r="H4" s="9" t="s">
        <v>217</v>
      </c>
    </row>
    <row r="5" customFormat="false" ht="15" hidden="false" customHeight="true" outlineLevel="0" collapsed="false">
      <c r="A5" s="13" t="s">
        <v>218</v>
      </c>
      <c r="B5" s="33" t="n">
        <v>376</v>
      </c>
      <c r="C5" s="33" t="n">
        <v>787</v>
      </c>
      <c r="D5" s="33" t="n">
        <v>1382</v>
      </c>
      <c r="E5" s="33" t="n">
        <v>2040</v>
      </c>
      <c r="F5" s="33" t="n">
        <v>4731</v>
      </c>
      <c r="G5" s="33" t="n">
        <v>11555</v>
      </c>
      <c r="H5" s="33" t="n">
        <v>16956</v>
      </c>
    </row>
    <row r="6" customFormat="false" ht="15" hidden="false" customHeight="true" outlineLevel="0" collapsed="false">
      <c r="A6" s="13" t="s">
        <v>219</v>
      </c>
      <c r="B6" s="33" t="n">
        <v>944</v>
      </c>
      <c r="C6" s="33" t="n">
        <v>1390</v>
      </c>
      <c r="D6" s="33" t="n">
        <v>2047</v>
      </c>
      <c r="E6" s="33" t="n">
        <v>2945</v>
      </c>
      <c r="F6" s="33" t="n">
        <v>3387</v>
      </c>
      <c r="G6" s="33" t="n">
        <v>5558</v>
      </c>
      <c r="H6" s="33" t="n">
        <v>9863</v>
      </c>
    </row>
    <row r="7" customFormat="false" ht="15" hidden="false" customHeight="true" outlineLevel="0" collapsed="false">
      <c r="A7" s="13" t="s">
        <v>220</v>
      </c>
      <c r="B7" s="33" t="n">
        <v>218</v>
      </c>
      <c r="C7" s="33" t="n">
        <v>320</v>
      </c>
      <c r="D7" s="33" t="n">
        <v>489</v>
      </c>
      <c r="E7" s="33" t="n">
        <v>812</v>
      </c>
      <c r="F7" s="33" t="n">
        <v>1295</v>
      </c>
      <c r="G7" s="33" t="n">
        <v>1857</v>
      </c>
      <c r="H7" s="33" t="n">
        <v>1711</v>
      </c>
    </row>
    <row r="8" customFormat="false" ht="15" hidden="false" customHeight="true" outlineLevel="0" collapsed="false">
      <c r="A8" s="13" t="s">
        <v>221</v>
      </c>
      <c r="B8" s="33" t="n">
        <v>0</v>
      </c>
      <c r="C8" s="33" t="n">
        <v>0</v>
      </c>
      <c r="D8" s="33" t="n">
        <v>1500</v>
      </c>
      <c r="E8" s="33" t="n">
        <v>0</v>
      </c>
      <c r="F8" s="33" t="n">
        <v>0</v>
      </c>
      <c r="G8" s="33" t="n">
        <v>0</v>
      </c>
      <c r="H8" s="33" t="n">
        <v>0</v>
      </c>
    </row>
    <row r="9" customFormat="false" ht="15" hidden="false" customHeight="true" outlineLevel="0" collapsed="false">
      <c r="A9" s="13" t="s">
        <v>222</v>
      </c>
      <c r="B9" s="33" t="n">
        <v>24</v>
      </c>
      <c r="C9" s="33" t="n">
        <v>96</v>
      </c>
      <c r="D9" s="33" t="n">
        <v>202</v>
      </c>
      <c r="E9" s="33" t="n">
        <v>246</v>
      </c>
      <c r="F9" s="33" t="n">
        <v>1033</v>
      </c>
      <c r="G9" s="33" t="n">
        <v>2135</v>
      </c>
      <c r="H9" s="33" t="n">
        <v>2361</v>
      </c>
    </row>
    <row r="10" customFormat="false" ht="15" hidden="false" customHeight="true" outlineLevel="0" collapsed="false">
      <c r="A10" s="13" t="s">
        <v>223</v>
      </c>
      <c r="B10" s="33" t="n">
        <v>125</v>
      </c>
      <c r="C10" s="33" t="n">
        <v>181</v>
      </c>
      <c r="D10" s="33" t="n">
        <v>233</v>
      </c>
      <c r="E10" s="33" t="n">
        <v>873</v>
      </c>
      <c r="F10" s="33" t="n">
        <v>683</v>
      </c>
      <c r="G10" s="33" t="n">
        <v>1031</v>
      </c>
      <c r="H10" s="33" t="n">
        <v>3588</v>
      </c>
    </row>
    <row r="11" customFormat="false" ht="15" hidden="false" customHeight="true" outlineLevel="0" collapsed="false">
      <c r="A11" s="10" t="s">
        <v>224</v>
      </c>
      <c r="B11" s="34" t="n">
        <f aca="false">SUM(B6:B10)</f>
        <v>1311</v>
      </c>
      <c r="C11" s="34" t="n">
        <f aca="false">SUM(C6:C10)</f>
        <v>1987</v>
      </c>
      <c r="D11" s="34" t="n">
        <f aca="false">SUM(D6:D10)</f>
        <v>4471</v>
      </c>
      <c r="E11" s="34" t="n">
        <f aca="false">SUM(E6:E10)</f>
        <v>4876</v>
      </c>
      <c r="F11" s="34" t="n">
        <f aca="false">SUM(F6:F10)</f>
        <v>6398</v>
      </c>
      <c r="G11" s="34" t="n">
        <f aca="false">SUM(G6:G10)</f>
        <v>10581</v>
      </c>
      <c r="H11" s="34" t="n">
        <f aca="false">SUM(H6:H10)</f>
        <v>17523</v>
      </c>
    </row>
    <row r="12" customFormat="false" ht="15" hidden="false" customHeight="true" outlineLevel="0" collapsed="false">
      <c r="A12" s="10" t="s">
        <v>225</v>
      </c>
      <c r="B12" s="34" t="n">
        <f aca="false">B5-B11</f>
        <v>-935</v>
      </c>
      <c r="C12" s="34" t="n">
        <f aca="false">C5-C11</f>
        <v>-1200</v>
      </c>
      <c r="D12" s="34" t="n">
        <f aca="false">D5-D11</f>
        <v>-3089</v>
      </c>
      <c r="E12" s="34" t="n">
        <f aca="false">E5-E11</f>
        <v>-2836</v>
      </c>
      <c r="F12" s="34" t="n">
        <f aca="false">F5-F11</f>
        <v>-1667</v>
      </c>
      <c r="G12" s="34" t="n">
        <f aca="false">G5-G11</f>
        <v>974</v>
      </c>
      <c r="H12" s="34" t="n">
        <f aca="false">H5-H11</f>
        <v>-567</v>
      </c>
    </row>
    <row r="13" customFormat="false" ht="15" hidden="false" customHeight="true" outlineLevel="0" collapsed="false">
      <c r="A13" s="13" t="s">
        <v>226</v>
      </c>
      <c r="B13" s="33" t="n">
        <v>51</v>
      </c>
      <c r="C13" s="33" t="n">
        <v>64</v>
      </c>
      <c r="D13" s="33" t="n">
        <v>124</v>
      </c>
      <c r="E13" s="33" t="n">
        <v>192</v>
      </c>
      <c r="F13" s="33" t="n">
        <v>349</v>
      </c>
      <c r="G13" s="33" t="n">
        <v>762</v>
      </c>
      <c r="H13" s="33" t="n">
        <v>1248</v>
      </c>
    </row>
    <row r="14" customFormat="false" ht="15" hidden="false" customHeight="true" outlineLevel="0" collapsed="false">
      <c r="A14" s="13" t="s">
        <v>227</v>
      </c>
      <c r="B14" s="33" t="n">
        <v>-5701</v>
      </c>
      <c r="C14" s="33" t="n">
        <v>-5241</v>
      </c>
      <c r="D14" s="33" t="n">
        <v>-9165</v>
      </c>
      <c r="E14" s="33" t="n">
        <v>-14201</v>
      </c>
      <c r="F14" s="33" t="n">
        <v>-12791</v>
      </c>
      <c r="G14" s="33" t="n">
        <v>-59597</v>
      </c>
      <c r="H14" s="33" t="n">
        <v>-21936</v>
      </c>
    </row>
    <row r="15" customFormat="false" ht="15" hidden="false" customHeight="true" outlineLevel="0" collapsed="false">
      <c r="A15" s="13" t="s">
        <v>228</v>
      </c>
      <c r="B15" s="33" t="n">
        <v>0</v>
      </c>
      <c r="C15" s="33" t="n">
        <v>0</v>
      </c>
      <c r="D15" s="33" t="n">
        <v>-3</v>
      </c>
      <c r="E15" s="33" t="n">
        <v>-5</v>
      </c>
      <c r="F15" s="33" t="n">
        <v>-309</v>
      </c>
      <c r="G15" s="33" t="n">
        <v>-8448</v>
      </c>
      <c r="H15" s="33" t="n">
        <v>-1640</v>
      </c>
    </row>
    <row r="16" customFormat="false" ht="15" hidden="false" customHeight="true" outlineLevel="0" collapsed="false">
      <c r="A16" s="13" t="s">
        <v>229</v>
      </c>
      <c r="B16" s="35" t="n">
        <f aca="false">B12+B13+B14+B15</f>
        <v>-6585</v>
      </c>
      <c r="C16" s="35" t="n">
        <f aca="false">C12+C13+C14+C15</f>
        <v>-6377</v>
      </c>
      <c r="D16" s="35" t="n">
        <f aca="false">D12+D13+D14+D15</f>
        <v>-12133</v>
      </c>
      <c r="E16" s="35" t="n">
        <f aca="false">E12+E13+E14+E15</f>
        <v>-16850</v>
      </c>
      <c r="F16" s="35" t="n">
        <f aca="false">F12+F13+F14+F15</f>
        <v>-14418</v>
      </c>
      <c r="G16" s="35" t="n">
        <f aca="false">G12+G13+G14+G15</f>
        <v>-66309</v>
      </c>
      <c r="H16" s="35" t="n">
        <f aca="false">H12+H13+H14+H15</f>
        <v>-22895</v>
      </c>
    </row>
    <row r="17" customFormat="false" ht="15" hidden="false" customHeight="true" outlineLevel="0" collapsed="false">
      <c r="A17" s="13" t="s">
        <v>230</v>
      </c>
      <c r="B17" s="33" t="n">
        <v>7</v>
      </c>
      <c r="C17" s="33" t="n">
        <v>0</v>
      </c>
      <c r="D17" s="33" t="n">
        <v>5</v>
      </c>
      <c r="E17" s="33" t="n">
        <v>8</v>
      </c>
      <c r="F17" s="33" t="n">
        <v>21</v>
      </c>
      <c r="G17" s="33" t="n">
        <v>0</v>
      </c>
      <c r="H17" s="33" t="n">
        <v>396</v>
      </c>
    </row>
    <row r="18" customFormat="false" ht="15" hidden="false" customHeight="true" outlineLevel="0" collapsed="false">
      <c r="A18" s="10" t="s">
        <v>231</v>
      </c>
      <c r="B18" s="36" t="n">
        <f aca="false">B16-B17</f>
        <v>-6592</v>
      </c>
      <c r="C18" s="36" t="n">
        <f aca="false">C16-C17</f>
        <v>-6377</v>
      </c>
      <c r="D18" s="36" t="n">
        <f aca="false">D16-D17</f>
        <v>-12138</v>
      </c>
      <c r="E18" s="36" t="n">
        <f aca="false">E16-E17</f>
        <v>-16858</v>
      </c>
      <c r="F18" s="36" t="n">
        <f aca="false">F16-F17</f>
        <v>-14439</v>
      </c>
      <c r="G18" s="36" t="n">
        <f aca="false">G16-G17</f>
        <v>-66309</v>
      </c>
      <c r="H18" s="36" t="n">
        <f aca="false">H16-H17</f>
        <v>-23291</v>
      </c>
    </row>
    <row r="19" customFormat="false" ht="15" hidden="false" customHeight="true" outlineLevel="0" collapsed="false">
      <c r="A19" s="13" t="s">
        <v>232</v>
      </c>
      <c r="B19" s="33" t="n">
        <v>105</v>
      </c>
      <c r="C19" s="33" t="n">
        <v>181</v>
      </c>
      <c r="D19" s="33" t="n">
        <v>305</v>
      </c>
      <c r="E19" s="33" t="n">
        <v>574</v>
      </c>
      <c r="F19" s="33" t="n">
        <v>924</v>
      </c>
      <c r="G19" s="33" t="n">
        <v>1261</v>
      </c>
      <c r="H19" s="33" t="n">
        <v>1070</v>
      </c>
    </row>
    <row r="20" customFormat="false" ht="15" hidden="false" customHeight="true" outlineLevel="0" collapsed="false">
      <c r="A20" s="10" t="s">
        <v>233</v>
      </c>
      <c r="B20" s="36" t="n">
        <f aca="false">B12+B19</f>
        <v>-830</v>
      </c>
      <c r="C20" s="36" t="n">
        <f aca="false">C12+C19</f>
        <v>-1019</v>
      </c>
      <c r="D20" s="36" t="n">
        <f aca="false">D12+D19</f>
        <v>-2784</v>
      </c>
      <c r="E20" s="36" t="n">
        <f aca="false">E12+E19</f>
        <v>-2262</v>
      </c>
      <c r="F20" s="36" t="n">
        <f aca="false">F12+F19</f>
        <v>-743</v>
      </c>
      <c r="G20" s="36" t="n">
        <f aca="false">G12+G19</f>
        <v>2235</v>
      </c>
      <c r="H20" s="36" t="n">
        <f aca="false">H12+H19</f>
        <v>503</v>
      </c>
    </row>
    <row r="22" customFormat="false" ht="15" hidden="false" customHeight="true" outlineLevel="0" collapsed="false">
      <c r="A22" s="37" t="s">
        <v>234</v>
      </c>
      <c r="B22" s="38"/>
      <c r="C22" s="38"/>
      <c r="D22" s="38"/>
      <c r="E22" s="38"/>
      <c r="F22" s="38"/>
      <c r="G22" s="38"/>
      <c r="H22" s="38"/>
    </row>
    <row r="23" customFormat="false" ht="15" hidden="false" customHeight="true" outlineLevel="0" collapsed="false">
      <c r="A23" s="13" t="s">
        <v>132</v>
      </c>
      <c r="B23" s="16" t="n">
        <f aca="false">IFERROR(B6/B5,0)</f>
        <v>2.51063829787234</v>
      </c>
      <c r="C23" s="16" t="n">
        <f aca="false">IFERROR(C6/C5,0)</f>
        <v>1.76620076238882</v>
      </c>
      <c r="D23" s="16" t="n">
        <f aca="false">IFERROR(D6/D5,0)</f>
        <v>1.48118668596237</v>
      </c>
      <c r="E23" s="16" t="n">
        <f aca="false">IFERROR(E6/E5,0)</f>
        <v>1.44362745098039</v>
      </c>
      <c r="F23" s="16" t="n">
        <f aca="false">IFERROR(F6/F5,0)</f>
        <v>0.715916296766011</v>
      </c>
      <c r="G23" s="16" t="n">
        <f aca="false">IFERROR(G6/G5,0)</f>
        <v>0.481003894418001</v>
      </c>
      <c r="H23" s="16" t="n">
        <f aca="false">IFERROR(H6/H5,0)</f>
        <v>0.581682000471809</v>
      </c>
    </row>
    <row r="24" customFormat="false" ht="15" hidden="false" customHeight="true" outlineLevel="0" collapsed="false">
      <c r="A24" s="13" t="s">
        <v>235</v>
      </c>
      <c r="B24" s="16" t="n">
        <f aca="false">IFERROR(B7/B5,0)</f>
        <v>0.579787234042553</v>
      </c>
      <c r="C24" s="16" t="n">
        <f aca="false">IFERROR(C7/C5,0)</f>
        <v>0.406607369758577</v>
      </c>
      <c r="D24" s="16" t="n">
        <f aca="false">IFERROR(D7/D5,0)</f>
        <v>0.35383502170767</v>
      </c>
      <c r="E24" s="16" t="n">
        <f aca="false">IFERROR(E7/E5,0)</f>
        <v>0.398039215686275</v>
      </c>
      <c r="F24" s="16" t="n">
        <f aca="false">IFERROR(F7/F5,0)</f>
        <v>0.273726484886916</v>
      </c>
      <c r="G24" s="16" t="n">
        <f aca="false">IFERROR(G7/G5,0)</f>
        <v>0.16070964950238</v>
      </c>
      <c r="H24" s="16" t="n">
        <f aca="false">IFERROR(H7/H5,0)</f>
        <v>0.100908233073838</v>
      </c>
    </row>
    <row r="25" customFormat="false" ht="15" hidden="false" customHeight="true" outlineLevel="0" collapsed="false">
      <c r="A25" s="13" t="s">
        <v>236</v>
      </c>
      <c r="B25" s="16" t="n">
        <f aca="false">IFERROR(B9/B5,0)</f>
        <v>0.0638297872340426</v>
      </c>
      <c r="C25" s="16" t="n">
        <f aca="false">IFERROR(C9/C5,0)</f>
        <v>0.121982210927573</v>
      </c>
      <c r="D25" s="16" t="n">
        <f aca="false">IFERROR(D9/D5,0)</f>
        <v>0.14616497829233</v>
      </c>
      <c r="E25" s="16" t="n">
        <f aca="false">IFERROR(E9/E5,0)</f>
        <v>0.120588235294118</v>
      </c>
      <c r="F25" s="16" t="n">
        <f aca="false">IFERROR(F9/F5,0)</f>
        <v>0.218347072500528</v>
      </c>
      <c r="G25" s="16" t="n">
        <f aca="false">IFERROR(G9/G5,0)</f>
        <v>0.184768498485504</v>
      </c>
      <c r="H25" s="16" t="n">
        <f aca="false">IFERROR(H9/H5,0)</f>
        <v>0.139242745930644</v>
      </c>
    </row>
    <row r="26" customFormat="false" ht="15" hidden="false" customHeight="true" outlineLevel="0" collapsed="false">
      <c r="A26" s="13" t="s">
        <v>237</v>
      </c>
      <c r="B26" s="16" t="n">
        <f aca="false">IFERROR(B10/B5,0)</f>
        <v>0.332446808510638</v>
      </c>
      <c r="C26" s="16" t="n">
        <f aca="false">IFERROR(C10/C5,0)</f>
        <v>0.229987293519695</v>
      </c>
      <c r="D26" s="16" t="n">
        <f aca="false">IFERROR(D10/D5,0)</f>
        <v>0.168596237337192</v>
      </c>
      <c r="E26" s="16" t="n">
        <f aca="false">IFERROR(E10/E5,0)</f>
        <v>0.427941176470588</v>
      </c>
      <c r="F26" s="16" t="n">
        <f aca="false">IFERROR(F10/F5,0)</f>
        <v>0.144366941450011</v>
      </c>
      <c r="G26" s="16" t="n">
        <f aca="false">IFERROR(G10/G5,0)</f>
        <v>0.089225443530939</v>
      </c>
      <c r="H26" s="16" t="n">
        <f aca="false">IFERROR(H10/H5,0)</f>
        <v>0.211606510969568</v>
      </c>
    </row>
    <row r="27" customFormat="false" ht="15" hidden="false" customHeight="true" outlineLevel="0" collapsed="false">
      <c r="A27" s="13" t="s">
        <v>130</v>
      </c>
      <c r="B27" s="16" t="n">
        <f aca="false">IFERROR(B12/B5,0)</f>
        <v>-2.48670212765957</v>
      </c>
      <c r="C27" s="16" t="n">
        <f aca="false">IFERROR(C12/C5,0)</f>
        <v>-1.52477763659466</v>
      </c>
      <c r="D27" s="16" t="n">
        <f aca="false">IFERROR(D12/D5,0)</f>
        <v>-2.23516642547033</v>
      </c>
      <c r="E27" s="16" t="n">
        <f aca="false">IFERROR(E12/E5,0)</f>
        <v>-1.39019607843137</v>
      </c>
      <c r="F27" s="16" t="n">
        <f aca="false">IFERROR(F12/F5,0)</f>
        <v>-0.352356795603467</v>
      </c>
      <c r="G27" s="16" t="n">
        <f aca="false">IFERROR(G12/G5,0)</f>
        <v>0.0842925140631761</v>
      </c>
      <c r="H27" s="16" t="n">
        <f aca="false">IFERROR(H12/H5,0)</f>
        <v>-0.0334394904458599</v>
      </c>
    </row>
    <row r="28" customFormat="false" ht="15" hidden="false" customHeight="true" outlineLevel="0" collapsed="false">
      <c r="A28" s="13" t="s">
        <v>131</v>
      </c>
      <c r="B28" s="16" t="n">
        <f aca="false">IFERROR(B20/B5,0)</f>
        <v>-2.20744680851064</v>
      </c>
      <c r="C28" s="16" t="n">
        <f aca="false">IFERROR(C20/C5,0)</f>
        <v>-1.29479034307497</v>
      </c>
      <c r="D28" s="16" t="n">
        <f aca="false">IFERROR(D20/D5,0)</f>
        <v>-2.01447178002894</v>
      </c>
      <c r="E28" s="16" t="n">
        <f aca="false">IFERROR(E20/E5,0)</f>
        <v>-1.10882352941176</v>
      </c>
      <c r="F28" s="16" t="n">
        <f aca="false">IFERROR(F20/F5,0)</f>
        <v>-0.157049249630099</v>
      </c>
      <c r="G28" s="16" t="n">
        <f aca="false">IFERROR(G20/G5,0)</f>
        <v>0.19342276070965</v>
      </c>
      <c r="H28" s="16" t="n">
        <f aca="false">IFERROR(H20/H5,0)</f>
        <v>0.0296650153338051</v>
      </c>
    </row>
    <row r="29" customFormat="false" ht="15" hidden="false" customHeight="true" outlineLevel="0" collapsed="false">
      <c r="A29" s="13" t="s">
        <v>238</v>
      </c>
      <c r="B29" s="16" t="n">
        <f aca="false">IFERROR(B19/B5,0)</f>
        <v>0.279255319148936</v>
      </c>
      <c r="C29" s="16" t="n">
        <f aca="false">IFERROR(C19/C5,0)</f>
        <v>0.229987293519695</v>
      </c>
      <c r="D29" s="16" t="n">
        <f aca="false">IFERROR(D19/D5,0)</f>
        <v>0.220694645441389</v>
      </c>
      <c r="E29" s="16" t="n">
        <f aca="false">IFERROR(E19/E5,0)</f>
        <v>0.281372549019608</v>
      </c>
      <c r="F29" s="16" t="n">
        <f aca="false">IFERROR(F19/F5,0)</f>
        <v>0.195307545973367</v>
      </c>
      <c r="G29" s="16" t="n">
        <f aca="false">IFERROR(G19/G5,0)</f>
        <v>0.109130246646473</v>
      </c>
      <c r="H29" s="16" t="n">
        <f aca="false">IFERROR(H19/H5,0)</f>
        <v>0.063104505779665</v>
      </c>
    </row>
    <row r="30" customFormat="false" ht="15" hidden="false" customHeight="true" outlineLevel="0" collapsed="false">
      <c r="A30" s="13" t="s">
        <v>239</v>
      </c>
      <c r="C30" s="16" t="n">
        <f aca="false">IFERROR(C5/B5-1,0)</f>
        <v>1.09308510638298</v>
      </c>
      <c r="D30" s="16" t="n">
        <f aca="false">IFERROR(D5/C5-1,0)</f>
        <v>0.756035578144854</v>
      </c>
      <c r="E30" s="16" t="n">
        <f aca="false">IFERROR(E5/D5-1,0)</f>
        <v>0.476121562952243</v>
      </c>
      <c r="F30" s="16" t="n">
        <f aca="false">IFERROR(F5/E5-1,0)</f>
        <v>1.31911764705882</v>
      </c>
      <c r="G30" s="16" t="n">
        <f aca="false">IFERROR(G5/F5-1,0)</f>
        <v>1.4424011836821</v>
      </c>
      <c r="H30" s="16" t="n">
        <f aca="false">IFERROR(H5/G5-1,0)</f>
        <v>0.467416702726093</v>
      </c>
      <c r="I30" s="16" t="n">
        <f aca="false">IFERROR(I5/H5-1,0)</f>
        <v>-1</v>
      </c>
    </row>
    <row r="31" customFormat="false" ht="15" hidden="false" customHeight="true" outlineLevel="0" collapsed="false">
      <c r="A31" s="13" t="s">
        <v>240</v>
      </c>
      <c r="C31" s="35" t="n">
        <f aca="false">C5-B5</f>
        <v>411</v>
      </c>
      <c r="D31" s="35" t="n">
        <f aca="false">D5-C5</f>
        <v>595</v>
      </c>
      <c r="E31" s="35" t="n">
        <f aca="false">E5-D5</f>
        <v>658</v>
      </c>
      <c r="F31" s="35" t="n">
        <f aca="false">F5-E5</f>
        <v>2691</v>
      </c>
      <c r="G31" s="35" t="n">
        <f aca="false">G5-F5</f>
        <v>6824</v>
      </c>
      <c r="H31" s="35" t="n">
        <f aca="false">H5-G5</f>
        <v>5401</v>
      </c>
      <c r="I31" s="35" t="n">
        <f aca="false">I5-H5</f>
        <v>-16956</v>
      </c>
    </row>
    <row r="32" customFormat="false" ht="15" hidden="false" customHeight="true" outlineLevel="0" collapsed="false">
      <c r="A32" s="13" t="s">
        <v>241</v>
      </c>
      <c r="G32" s="35" t="n">
        <f aca="false">F5+G5-F35</f>
        <v>0</v>
      </c>
    </row>
    <row r="33" customFormat="false" ht="15" hidden="false" customHeight="true" outlineLevel="0" collapsed="false">
      <c r="A33" s="13" t="s">
        <v>242</v>
      </c>
      <c r="G33" s="35" t="n">
        <f aca="false">B5+C5+D5+E5-D35</f>
        <v>0</v>
      </c>
    </row>
    <row r="34" customFormat="false" ht="15" hidden="false" customHeight="true" outlineLevel="0" collapsed="false">
      <c r="A34" s="8" t="s">
        <v>243</v>
      </c>
      <c r="B34" s="9" t="s">
        <v>244</v>
      </c>
      <c r="C34" s="9" t="s">
        <v>245</v>
      </c>
      <c r="D34" s="9" t="s">
        <v>246</v>
      </c>
      <c r="E34" s="9" t="s">
        <v>247</v>
      </c>
      <c r="F34" s="9" t="s">
        <v>248</v>
      </c>
    </row>
    <row r="35" customFormat="false" ht="15" hidden="false" customHeight="true" outlineLevel="0" collapsed="false">
      <c r="A35" s="13" t="s">
        <v>218</v>
      </c>
      <c r="B35" s="33" t="n">
        <v>41</v>
      </c>
      <c r="C35" s="33" t="n">
        <v>386</v>
      </c>
      <c r="D35" s="33" t="n">
        <v>4585</v>
      </c>
      <c r="E35" s="33" t="n">
        <v>1163</v>
      </c>
      <c r="F35" s="33" t="n">
        <v>16286</v>
      </c>
    </row>
    <row r="36" customFormat="false" ht="15" hidden="false" customHeight="true" outlineLevel="0" collapsed="false">
      <c r="A36" s="13" t="s">
        <v>219</v>
      </c>
      <c r="B36" s="33" t="n">
        <v>433</v>
      </c>
      <c r="C36" s="33" t="n">
        <v>2522</v>
      </c>
      <c r="D36" s="33" t="n">
        <v>7326</v>
      </c>
      <c r="E36" s="33" t="n">
        <v>2334</v>
      </c>
      <c r="F36" s="33" t="n">
        <v>8945</v>
      </c>
    </row>
    <row r="37" customFormat="false" ht="15" hidden="false" customHeight="true" outlineLevel="0" collapsed="false">
      <c r="A37" s="13" t="s">
        <v>220</v>
      </c>
      <c r="B37" s="33" t="n">
        <v>95</v>
      </c>
      <c r="C37" s="33" t="n">
        <v>454</v>
      </c>
      <c r="D37" s="33" t="n">
        <v>1839</v>
      </c>
      <c r="E37" s="33" t="n">
        <v>538</v>
      </c>
      <c r="F37" s="33" t="n">
        <v>3152</v>
      </c>
    </row>
    <row r="38" customFormat="false" ht="15" hidden="false" customHeight="true" outlineLevel="0" collapsed="false">
      <c r="A38" s="13" t="s">
        <v>221</v>
      </c>
      <c r="B38" s="33" t="n">
        <v>0</v>
      </c>
      <c r="C38" s="33" t="n">
        <v>0</v>
      </c>
      <c r="D38" s="33" t="n">
        <v>1500</v>
      </c>
      <c r="E38" s="33" t="n">
        <v>0</v>
      </c>
      <c r="F38" s="33" t="n">
        <v>0</v>
      </c>
    </row>
    <row r="39" customFormat="false" ht="15" hidden="false" customHeight="true" outlineLevel="0" collapsed="false">
      <c r="A39" s="13" t="s">
        <v>222</v>
      </c>
      <c r="B39" s="33" t="n">
        <v>2</v>
      </c>
      <c r="C39" s="33" t="n">
        <v>43</v>
      </c>
      <c r="D39" s="33" t="n">
        <v>568</v>
      </c>
      <c r="E39" s="33" t="n">
        <v>120</v>
      </c>
      <c r="F39" s="33" t="n">
        <v>3168</v>
      </c>
    </row>
    <row r="40" customFormat="false" ht="15" hidden="false" customHeight="true" outlineLevel="0" collapsed="false">
      <c r="A40" s="13" t="s">
        <v>223</v>
      </c>
      <c r="B40" s="33" t="n">
        <v>62</v>
      </c>
      <c r="C40" s="33" t="n">
        <v>347</v>
      </c>
      <c r="D40" s="33" t="n">
        <v>1412</v>
      </c>
      <c r="E40" s="33" t="n">
        <v>306</v>
      </c>
      <c r="F40" s="33" t="n">
        <v>1714</v>
      </c>
    </row>
    <row r="41" customFormat="false" ht="15" hidden="false" customHeight="true" outlineLevel="0" collapsed="false">
      <c r="A41" s="10" t="s">
        <v>224</v>
      </c>
      <c r="B41" s="34" t="n">
        <f aca="false">SUM(B36:B40)</f>
        <v>592</v>
      </c>
      <c r="C41" s="34" t="n">
        <f aca="false">SUM(C36:C40)</f>
        <v>3366</v>
      </c>
      <c r="D41" s="34" t="n">
        <f aca="false">SUM(D36:D40)</f>
        <v>12645</v>
      </c>
      <c r="E41" s="34" t="n">
        <f aca="false">SUM(E36:E40)</f>
        <v>3298</v>
      </c>
      <c r="F41" s="34" t="n">
        <f aca="false">SUM(F36:F40)</f>
        <v>16979</v>
      </c>
    </row>
    <row r="42" customFormat="false" ht="15" hidden="false" customHeight="true" outlineLevel="0" collapsed="false">
      <c r="A42" s="10" t="s">
        <v>225</v>
      </c>
      <c r="B42" s="34" t="n">
        <f aca="false">B35-B41</f>
        <v>-551</v>
      </c>
      <c r="C42" s="34" t="n">
        <f aca="false">C35-C41</f>
        <v>-2980</v>
      </c>
      <c r="D42" s="34" t="n">
        <f aca="false">D35-D41</f>
        <v>-8060</v>
      </c>
      <c r="E42" s="34" t="n">
        <f aca="false">E35-E41</f>
        <v>-2135</v>
      </c>
      <c r="F42" s="34" t="n">
        <f aca="false">F35-F41</f>
        <v>-693</v>
      </c>
    </row>
    <row r="43" customFormat="false" ht="15" hidden="false" customHeight="true" outlineLevel="0" collapsed="false">
      <c r="A43" s="13" t="s">
        <v>226</v>
      </c>
      <c r="B43" s="33" t="n">
        <v>69</v>
      </c>
      <c r="C43" s="33" t="n">
        <v>106</v>
      </c>
      <c r="D43" s="33" t="n">
        <v>431</v>
      </c>
      <c r="E43" s="33" t="n">
        <v>115</v>
      </c>
      <c r="F43" s="33" t="n">
        <v>1111</v>
      </c>
    </row>
    <row r="44" customFormat="false" ht="15" hidden="false" customHeight="true" outlineLevel="0" collapsed="false">
      <c r="A44" s="13" t="s">
        <v>227</v>
      </c>
      <c r="B44" s="33" t="n">
        <v>-1045</v>
      </c>
      <c r="C44" s="33" t="n">
        <v>-5434</v>
      </c>
      <c r="D44" s="33" t="n">
        <v>-34308</v>
      </c>
      <c r="E44" s="33" t="n">
        <v>-10942</v>
      </c>
      <c r="F44" s="33" t="n">
        <v>-72388</v>
      </c>
    </row>
    <row r="45" customFormat="false" ht="15" hidden="false" customHeight="true" outlineLevel="0" collapsed="false">
      <c r="A45" s="13" t="s">
        <v>228</v>
      </c>
      <c r="B45" s="33" t="n">
        <v>-2</v>
      </c>
      <c r="C45" s="33" t="n">
        <v>0</v>
      </c>
      <c r="D45" s="33" t="n">
        <v>-8</v>
      </c>
      <c r="E45" s="33" t="n">
        <v>0</v>
      </c>
      <c r="F45" s="33" t="n">
        <v>-8757</v>
      </c>
    </row>
    <row r="46" customFormat="false" ht="15" hidden="false" customHeight="true" outlineLevel="0" collapsed="false">
      <c r="A46" s="13" t="s">
        <v>229</v>
      </c>
      <c r="B46" s="35" t="n">
        <f aca="false">B42+B43+B44+B45</f>
        <v>-1529</v>
      </c>
      <c r="C46" s="35" t="n">
        <f aca="false">C42+C43+C44+C45</f>
        <v>-8308</v>
      </c>
      <c r="D46" s="35" t="n">
        <f aca="false">D42+D43+D44+D45</f>
        <v>-41945</v>
      </c>
      <c r="E46" s="35" t="n">
        <f aca="false">E42+E43+E44+E45</f>
        <v>-12962</v>
      </c>
      <c r="F46" s="35" t="n">
        <f aca="false">F42+F43+F44+F45</f>
        <v>-80727</v>
      </c>
    </row>
    <row r="47" customFormat="false" ht="15" hidden="false" customHeight="true" outlineLevel="0" collapsed="false">
      <c r="A47" s="13" t="s">
        <v>230</v>
      </c>
      <c r="B47" s="33" t="n">
        <v>2</v>
      </c>
      <c r="C47" s="33" t="n">
        <v>1</v>
      </c>
      <c r="D47" s="33" t="n">
        <v>20</v>
      </c>
      <c r="E47" s="33" t="n">
        <v>7</v>
      </c>
      <c r="F47" s="33" t="n">
        <v>21</v>
      </c>
    </row>
    <row r="48" customFormat="false" ht="15" hidden="false" customHeight="true" outlineLevel="0" collapsed="false">
      <c r="A48" s="10" t="s">
        <v>231</v>
      </c>
      <c r="B48" s="36" t="n">
        <f aca="false">B46-B47</f>
        <v>-1531</v>
      </c>
      <c r="C48" s="36" t="n">
        <f aca="false">C46-C47</f>
        <v>-8309</v>
      </c>
      <c r="D48" s="36" t="n">
        <f aca="false">D46-D47</f>
        <v>-41965</v>
      </c>
      <c r="E48" s="36" t="n">
        <f aca="false">E46-E47</f>
        <v>-12969</v>
      </c>
      <c r="F48" s="36" t="n">
        <f aca="false">F46-F47</f>
        <v>-80748</v>
      </c>
    </row>
    <row r="49" customFormat="false" ht="15" hidden="false" customHeight="true" outlineLevel="0" collapsed="false">
      <c r="A49" s="13" t="s">
        <v>249</v>
      </c>
      <c r="B49" s="33" t="n">
        <v>29</v>
      </c>
      <c r="C49" s="33" t="n">
        <v>192</v>
      </c>
      <c r="D49" s="33" t="n">
        <v>1158</v>
      </c>
      <c r="E49" s="33" t="n">
        <v>279</v>
      </c>
      <c r="F49" s="33" t="n">
        <v>2185</v>
      </c>
      <c r="G49" s="6" t="s">
        <v>250</v>
      </c>
    </row>
    <row r="50" customFormat="false" ht="15" hidden="false" customHeight="true" outlineLevel="0" collapsed="false">
      <c r="A50" s="13" t="s">
        <v>251</v>
      </c>
      <c r="B50" s="33" t="n">
        <v>39</v>
      </c>
      <c r="C50" s="33" t="n">
        <v>288</v>
      </c>
      <c r="D50" s="33" t="n">
        <v>3796</v>
      </c>
      <c r="E50" s="33" t="n">
        <v>983</v>
      </c>
      <c r="F50" s="33" t="n">
        <v>13064</v>
      </c>
    </row>
    <row r="51" customFormat="false" ht="15" hidden="false" customHeight="true" outlineLevel="0" collapsed="false">
      <c r="A51" s="13" t="s">
        <v>252</v>
      </c>
      <c r="B51" s="33" t="n">
        <v>2</v>
      </c>
      <c r="C51" s="33" t="n">
        <v>98</v>
      </c>
      <c r="D51" s="33" t="n">
        <v>789</v>
      </c>
      <c r="E51" s="33" t="n">
        <v>180</v>
      </c>
      <c r="F51" s="33" t="n">
        <v>3222</v>
      </c>
    </row>
    <row r="52" customFormat="false" ht="15" hidden="false" customHeight="true" outlineLevel="0" collapsed="false">
      <c r="A52" s="13" t="s">
        <v>253</v>
      </c>
      <c r="B52" s="35" t="n">
        <f aca="false">B50+B51-B35</f>
        <v>0</v>
      </c>
      <c r="C52" s="35" t="n">
        <f aca="false">C50+C51-C35</f>
        <v>0</v>
      </c>
      <c r="D52" s="35" t="n">
        <f aca="false">D50+D51-D35</f>
        <v>0</v>
      </c>
      <c r="E52" s="35" t="n">
        <f aca="false">E50+E51-E35</f>
        <v>0</v>
      </c>
      <c r="F52" s="35" t="n">
        <f aca="false">F50+F51-F35</f>
        <v>0</v>
      </c>
    </row>
    <row r="53" customFormat="false" ht="15" hidden="false" customHeight="true" outlineLevel="0" collapsed="false">
      <c r="A53" s="13" t="s">
        <v>254</v>
      </c>
      <c r="B53" s="33" t="n">
        <v>34</v>
      </c>
      <c r="C53" s="33" t="n">
        <v>263</v>
      </c>
      <c r="D53" s="33" t="n">
        <v>3362</v>
      </c>
      <c r="E53" s="33" t="n">
        <v>820</v>
      </c>
      <c r="F53" s="33" t="n">
        <v>11763</v>
      </c>
    </row>
    <row r="54" customFormat="false" ht="15" hidden="false" customHeight="true" outlineLevel="0" collapsed="false">
      <c r="A54" s="13" t="s">
        <v>255</v>
      </c>
      <c r="B54" s="33" t="n">
        <v>7</v>
      </c>
      <c r="C54" s="33" t="n">
        <v>123</v>
      </c>
      <c r="D54" s="33" t="n">
        <v>1223</v>
      </c>
      <c r="E54" s="33" t="n">
        <v>343</v>
      </c>
      <c r="F54" s="33" t="n">
        <v>4523</v>
      </c>
    </row>
    <row r="55" customFormat="false" ht="15" hidden="false" customHeight="true" outlineLevel="0" collapsed="false">
      <c r="A55" s="13" t="s">
        <v>256</v>
      </c>
      <c r="C55" s="39" t="n">
        <v>0.32</v>
      </c>
      <c r="D55" s="39" t="n">
        <v>0.47</v>
      </c>
      <c r="F55" s="39" t="n">
        <v>0.48</v>
      </c>
    </row>
    <row r="57" customFormat="false" ht="15" hidden="false" customHeight="true" outlineLevel="0" collapsed="false">
      <c r="A57" s="8" t="s">
        <v>257</v>
      </c>
      <c r="B57" s="9" t="s">
        <v>244</v>
      </c>
      <c r="C57" s="9" t="s">
        <v>245</v>
      </c>
      <c r="D57" s="9" t="s">
        <v>246</v>
      </c>
      <c r="E57" s="9" t="s">
        <v>247</v>
      </c>
      <c r="F57" s="9" t="s">
        <v>248</v>
      </c>
    </row>
    <row r="58" customFormat="false" ht="15" hidden="false" customHeight="true" outlineLevel="0" collapsed="false">
      <c r="A58" s="13" t="s">
        <v>258</v>
      </c>
      <c r="B58" s="33" t="n">
        <v>-1627</v>
      </c>
      <c r="C58" s="33" t="n">
        <v>-5692</v>
      </c>
      <c r="D58" s="33" t="n">
        <v>-2637</v>
      </c>
      <c r="E58" s="33" t="n">
        <v>-1513</v>
      </c>
      <c r="F58" s="33" t="n">
        <v>3929</v>
      </c>
    </row>
    <row r="59" customFormat="false" ht="15" hidden="false" customHeight="true" outlineLevel="0" collapsed="false">
      <c r="A59" s="13" t="s">
        <v>259</v>
      </c>
      <c r="B59" s="33" t="n">
        <v>-2</v>
      </c>
      <c r="C59" s="33" t="n">
        <v>-15</v>
      </c>
      <c r="D59" s="33" t="n">
        <v>-131</v>
      </c>
      <c r="E59" s="33" t="n">
        <v>-18</v>
      </c>
      <c r="F59" s="33" t="n">
        <v>-482</v>
      </c>
    </row>
    <row r="60" customFormat="false" ht="15" hidden="false" customHeight="true" outlineLevel="0" collapsed="false">
      <c r="A60" s="10" t="s">
        <v>260</v>
      </c>
      <c r="B60" s="34" t="n">
        <f aca="false">B58+B59</f>
        <v>-1629</v>
      </c>
      <c r="C60" s="34" t="n">
        <f aca="false">C58+C59</f>
        <v>-5707</v>
      </c>
      <c r="D60" s="34" t="n">
        <f aca="false">D58+D59</f>
        <v>-2768</v>
      </c>
      <c r="E60" s="34" t="n">
        <f aca="false">E58+E59</f>
        <v>-1531</v>
      </c>
      <c r="F60" s="34" t="n">
        <f aca="false">F58+F59</f>
        <v>3447</v>
      </c>
    </row>
    <row r="61" customFormat="false" ht="15" hidden="false" customHeight="true" outlineLevel="0" collapsed="false">
      <c r="A61" s="13" t="s">
        <v>261</v>
      </c>
      <c r="B61" s="16" t="n">
        <f aca="false">IFERROR(B60/B35,0)</f>
        <v>-39.7317073170732</v>
      </c>
      <c r="C61" s="16" t="n">
        <f aca="false">IFERROR(C60/C35,0)</f>
        <v>-14.7849740932642</v>
      </c>
      <c r="D61" s="16" t="n">
        <f aca="false">IFERROR(D60/D35,0)</f>
        <v>-0.60370774263904</v>
      </c>
      <c r="E61" s="16" t="n">
        <f aca="false">IFERROR(E60/E35,0)</f>
        <v>-1.31642304385211</v>
      </c>
      <c r="F61" s="16" t="n">
        <f aca="false">IFERROR(F60/F35,0)</f>
        <v>0.211654181505588</v>
      </c>
    </row>
    <row r="62" customFormat="false" ht="15" hidden="false" customHeight="true" outlineLevel="0" collapsed="false">
      <c r="A62" s="13" t="s">
        <v>262</v>
      </c>
      <c r="B62" s="35" t="n">
        <f aca="false">B60-B49</f>
        <v>-1658</v>
      </c>
      <c r="C62" s="35" t="n">
        <f aca="false">C60-C49</f>
        <v>-5899</v>
      </c>
      <c r="D62" s="35" t="n">
        <f aca="false">D60-D49</f>
        <v>-3926</v>
      </c>
      <c r="E62" s="35" t="n">
        <f aca="false">E60-E49</f>
        <v>-1810</v>
      </c>
      <c r="F62" s="35" t="n">
        <f aca="false">F60-F49</f>
        <v>1262</v>
      </c>
    </row>
    <row r="64" customFormat="false" ht="15" hidden="false" customHeight="true" outlineLevel="0" collapsed="false">
      <c r="A64" s="10" t="s">
        <v>263</v>
      </c>
    </row>
    <row r="66" customFormat="false" ht="15" hidden="false" customHeight="true" outlineLevel="0" collapsed="false">
      <c r="A66" s="13" t="s">
        <v>264</v>
      </c>
      <c r="B66" s="33" t="n">
        <v>197</v>
      </c>
    </row>
    <row r="67" customFormat="false" ht="15" hidden="false" customHeight="true" outlineLevel="0" collapsed="false">
      <c r="A67" s="13" t="s">
        <v>265</v>
      </c>
      <c r="B67" s="40" t="n">
        <v>86</v>
      </c>
    </row>
    <row r="68" customFormat="false" ht="15" hidden="false" customHeight="true" outlineLevel="0" collapsed="false">
      <c r="A68" s="13" t="s">
        <v>266</v>
      </c>
      <c r="B68" s="35" t="n">
        <f aca="false">B66*B67-H5</f>
        <v>-14</v>
      </c>
    </row>
    <row r="69" customFormat="false" ht="15" hidden="false" customHeight="true" outlineLevel="0" collapsed="false">
      <c r="A69" s="13" t="s">
        <v>267</v>
      </c>
      <c r="B69" s="33" t="n">
        <v>131651</v>
      </c>
    </row>
    <row r="71" customFormat="false" ht="15" hidden="false" customHeight="true" outlineLevel="0" collapsed="false">
      <c r="A71" s="8" t="s">
        <v>268</v>
      </c>
      <c r="B71" s="9" t="s">
        <v>248</v>
      </c>
      <c r="C71" s="9" t="s">
        <v>269</v>
      </c>
    </row>
    <row r="72" customFormat="false" ht="15" hidden="false" customHeight="true" outlineLevel="0" collapsed="false">
      <c r="A72" s="13" t="s">
        <v>225</v>
      </c>
      <c r="B72" s="35" t="n">
        <f aca="false">F42</f>
        <v>-693</v>
      </c>
      <c r="C72" s="6" t="s">
        <v>270</v>
      </c>
    </row>
    <row r="73" customFormat="false" ht="15" hidden="false" customHeight="true" outlineLevel="0" collapsed="false">
      <c r="A73" s="13" t="s">
        <v>271</v>
      </c>
      <c r="B73" s="35" t="n">
        <f aca="false">F43</f>
        <v>1111</v>
      </c>
      <c r="C73" s="6" t="s">
        <v>270</v>
      </c>
    </row>
    <row r="74" customFormat="false" ht="15" hidden="false" customHeight="true" outlineLevel="0" collapsed="false">
      <c r="A74" s="13" t="s">
        <v>272</v>
      </c>
      <c r="B74" s="35" t="n">
        <f aca="false">-F47</f>
        <v>-21</v>
      </c>
      <c r="C74" s="6" t="s">
        <v>270</v>
      </c>
    </row>
    <row r="75" customFormat="false" ht="15" hidden="false" customHeight="true" outlineLevel="0" collapsed="false">
      <c r="A75" s="13" t="s">
        <v>273</v>
      </c>
      <c r="B75" s="35" t="n">
        <f aca="false">F59</f>
        <v>-482</v>
      </c>
      <c r="C75" s="6" t="s">
        <v>274</v>
      </c>
    </row>
    <row r="76" customFormat="false" ht="15" hidden="false" customHeight="true" outlineLevel="0" collapsed="false">
      <c r="A76" s="10" t="s">
        <v>275</v>
      </c>
      <c r="B76" s="35" t="n">
        <f aca="false">SUM(B72:B75)</f>
        <v>-85</v>
      </c>
      <c r="C76" s="6" t="s">
        <v>276</v>
      </c>
    </row>
    <row r="77" customFormat="false" ht="15" hidden="false" customHeight="true" outlineLevel="0" collapsed="false">
      <c r="A77" s="13" t="s">
        <v>277</v>
      </c>
      <c r="B77" s="35" t="n">
        <f aca="false">F49</f>
        <v>2185</v>
      </c>
      <c r="C77" s="6" t="s">
        <v>274</v>
      </c>
    </row>
    <row r="78" customFormat="false" ht="15" hidden="false" customHeight="true" outlineLevel="0" collapsed="false">
      <c r="A78" s="13" t="s">
        <v>278</v>
      </c>
      <c r="B78" s="33" t="n">
        <v>126</v>
      </c>
      <c r="C78" s="6" t="s">
        <v>279</v>
      </c>
    </row>
    <row r="79" customFormat="false" ht="15" hidden="false" customHeight="true" outlineLevel="0" collapsed="false">
      <c r="A79" s="10" t="s">
        <v>280</v>
      </c>
      <c r="B79" s="35" t="n">
        <f aca="false">B76+B77+B78</f>
        <v>2226</v>
      </c>
      <c r="C79" s="6" t="s">
        <v>281</v>
      </c>
    </row>
    <row r="80" customFormat="false" ht="15" hidden="false" customHeight="true" outlineLevel="0" collapsed="false">
      <c r="A80" s="13" t="s">
        <v>282</v>
      </c>
      <c r="B80" s="33" t="n">
        <v>97</v>
      </c>
      <c r="C80" s="6" t="s">
        <v>274</v>
      </c>
    </row>
    <row r="81" customFormat="false" ht="15" hidden="false" customHeight="true" outlineLevel="0" collapsed="false">
      <c r="A81" s="13" t="s">
        <v>283</v>
      </c>
      <c r="B81" s="35" t="n">
        <f aca="false">F45+8720</f>
        <v>-37</v>
      </c>
      <c r="C81" s="6" t="s">
        <v>284</v>
      </c>
    </row>
    <row r="82" customFormat="false" ht="15" hidden="false" customHeight="true" outlineLevel="0" collapsed="false">
      <c r="A82" s="13" t="s">
        <v>285</v>
      </c>
      <c r="B82" s="33" t="n">
        <v>-7</v>
      </c>
      <c r="C82" s="6" t="s">
        <v>274</v>
      </c>
    </row>
    <row r="83" customFormat="false" ht="15" hidden="false" customHeight="true" outlineLevel="0" collapsed="false">
      <c r="A83" s="13" t="s">
        <v>286</v>
      </c>
      <c r="B83" s="35" t="n">
        <f aca="false">-4982+2094+2679-3+1380</f>
        <v>1168</v>
      </c>
      <c r="C83" s="6" t="s">
        <v>287</v>
      </c>
    </row>
    <row r="84" customFormat="false" ht="15" hidden="false" customHeight="true" outlineLevel="0" collapsed="false">
      <c r="A84" s="10" t="s">
        <v>288</v>
      </c>
      <c r="B84" s="35" t="n">
        <f aca="false">SUM(B79:B83)</f>
        <v>3447</v>
      </c>
      <c r="C84" s="6" t="s">
        <v>289</v>
      </c>
    </row>
    <row r="85" customFormat="false" ht="15" hidden="false" customHeight="true" outlineLevel="0" collapsed="false">
      <c r="A85" s="13" t="s">
        <v>290</v>
      </c>
      <c r="B85" s="35" t="n">
        <f aca="false">B84-F60</f>
        <v>0</v>
      </c>
      <c r="C85" s="6"/>
    </row>
    <row r="86" customFormat="false" ht="15" hidden="false" customHeight="true" outlineLevel="0" collapsed="false">
      <c r="A86" s="13" t="s">
        <v>291</v>
      </c>
      <c r="B86" s="35" t="n">
        <f aca="false">B84-B77</f>
        <v>1262</v>
      </c>
      <c r="C86" s="6" t="s">
        <v>292</v>
      </c>
    </row>
    <row r="88" customFormat="false" ht="15" hidden="false" customHeight="true" outlineLevel="0" collapsed="false">
      <c r="A88" s="8" t="s">
        <v>293</v>
      </c>
      <c r="B88" s="9" t="s">
        <v>217</v>
      </c>
      <c r="C88" s="9" t="s">
        <v>269</v>
      </c>
    </row>
    <row r="89" customFormat="false" ht="15" hidden="false" customHeight="true" outlineLevel="0" collapsed="false">
      <c r="A89" s="13" t="s">
        <v>225</v>
      </c>
      <c r="B89" s="35" t="n">
        <f aca="false">H12</f>
        <v>-567</v>
      </c>
      <c r="C89" s="6" t="s">
        <v>294</v>
      </c>
    </row>
    <row r="90" customFormat="false" ht="15" hidden="false" customHeight="true" outlineLevel="0" collapsed="false">
      <c r="A90" s="13" t="s">
        <v>271</v>
      </c>
      <c r="B90" s="35" t="n">
        <f aca="false">H13</f>
        <v>1248</v>
      </c>
      <c r="C90" s="6" t="s">
        <v>294</v>
      </c>
    </row>
    <row r="91" customFormat="false" ht="15" hidden="false" customHeight="true" outlineLevel="0" collapsed="false">
      <c r="A91" s="13" t="s">
        <v>272</v>
      </c>
      <c r="B91" s="35" t="n">
        <f aca="false">-H17</f>
        <v>-396</v>
      </c>
      <c r="C91" s="6" t="s">
        <v>294</v>
      </c>
    </row>
    <row r="92" customFormat="false" ht="15" hidden="false" customHeight="true" outlineLevel="0" collapsed="false">
      <c r="A92" s="13" t="s">
        <v>273</v>
      </c>
      <c r="B92" s="35" t="n">
        <f aca="false">-(925-482)</f>
        <v>-443</v>
      </c>
      <c r="C92" s="6" t="s">
        <v>295</v>
      </c>
    </row>
    <row r="93" customFormat="false" ht="15" hidden="false" customHeight="true" outlineLevel="0" collapsed="false">
      <c r="A93" s="13" t="s">
        <v>277</v>
      </c>
      <c r="B93" s="35" t="n">
        <f aca="false">3255-2185</f>
        <v>1070</v>
      </c>
      <c r="C93" s="6" t="s">
        <v>296</v>
      </c>
    </row>
    <row r="94" customFormat="false" ht="15" hidden="false" customHeight="true" outlineLevel="0" collapsed="false">
      <c r="A94" s="13" t="s">
        <v>278</v>
      </c>
      <c r="B94" s="35" t="n">
        <f aca="false">2086-126</f>
        <v>1960</v>
      </c>
      <c r="C94" s="6" t="s">
        <v>297</v>
      </c>
    </row>
    <row r="95" customFormat="false" ht="15" hidden="false" customHeight="true" outlineLevel="0" collapsed="false">
      <c r="A95" s="10" t="s">
        <v>298</v>
      </c>
      <c r="B95" s="35" t="n">
        <f aca="false">SUM(B89:B94)</f>
        <v>2872</v>
      </c>
      <c r="C95" s="6" t="s">
        <v>299</v>
      </c>
    </row>
    <row r="96" customFormat="false" ht="15" hidden="false" customHeight="true" outlineLevel="0" collapsed="false">
      <c r="A96" s="13" t="s">
        <v>300</v>
      </c>
      <c r="B96" s="33" t="n">
        <v>6569</v>
      </c>
      <c r="C96" s="6" t="s">
        <v>301</v>
      </c>
    </row>
    <row r="97" customFormat="false" ht="15" hidden="false" customHeight="true" outlineLevel="0" collapsed="false">
      <c r="A97" s="13" t="s">
        <v>302</v>
      </c>
      <c r="B97" s="33" t="n">
        <v>131845</v>
      </c>
      <c r="C97" s="6" t="s">
        <v>303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5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4" width="62"/>
    <col collapsed="false" customWidth="true" hidden="false" outlineLevel="0" max="4" min="2" style="4" width="13"/>
    <col collapsed="false" customWidth="true" hidden="false" outlineLevel="0" max="5" min="5" style="4" width="40"/>
    <col collapsed="false" customWidth="true" hidden="false" outlineLevel="0" max="21" min="6" style="4" width="13"/>
  </cols>
  <sheetData>
    <row r="1" customFormat="false" ht="17.25" hidden="false" customHeight="true" outlineLevel="0" collapsed="false">
      <c r="A1" s="5" t="s">
        <v>304</v>
      </c>
    </row>
    <row r="2" customFormat="false" ht="15" hidden="false" customHeight="true" outlineLevel="0" collapsed="false">
      <c r="A2" s="6" t="s">
        <v>305</v>
      </c>
    </row>
    <row r="4" customFormat="false" ht="15" hidden="false" customHeight="true" outlineLevel="0" collapsed="false">
      <c r="A4" s="8" t="s">
        <v>306</v>
      </c>
      <c r="B4" s="9" t="s">
        <v>75</v>
      </c>
      <c r="C4" s="9" t="s">
        <v>307</v>
      </c>
    </row>
    <row r="5" customFormat="false" ht="15" hidden="false" customHeight="true" outlineLevel="0" collapsed="false">
      <c r="A5" s="13" t="s">
        <v>308</v>
      </c>
      <c r="B5" s="41" t="n">
        <f aca="false">Historicals!H5</f>
        <v>16956</v>
      </c>
      <c r="C5" s="6" t="s">
        <v>309</v>
      </c>
    </row>
    <row r="6" customFormat="false" ht="15" hidden="false" customHeight="true" outlineLevel="0" collapsed="false">
      <c r="A6" s="13" t="s">
        <v>310</v>
      </c>
      <c r="B6" s="41" t="n">
        <f aca="false">Historicals!B69</f>
        <v>131651</v>
      </c>
      <c r="C6" s="6" t="s">
        <v>311</v>
      </c>
    </row>
    <row r="7" customFormat="false" ht="15" hidden="false" customHeight="true" outlineLevel="0" collapsed="false">
      <c r="A7" s="13" t="s">
        <v>312</v>
      </c>
      <c r="B7" s="42" t="n">
        <v>846840960</v>
      </c>
      <c r="C7" s="6" t="s">
        <v>313</v>
      </c>
    </row>
    <row r="8" customFormat="false" ht="15" hidden="false" customHeight="true" outlineLevel="0" collapsed="false">
      <c r="A8" s="13" t="s">
        <v>314</v>
      </c>
      <c r="B8" s="39" t="n">
        <v>0.05</v>
      </c>
      <c r="C8" s="6" t="s">
        <v>315</v>
      </c>
    </row>
    <row r="9" customFormat="false" ht="15" hidden="false" customHeight="true" outlineLevel="0" collapsed="false">
      <c r="A9" s="13" t="s">
        <v>316</v>
      </c>
      <c r="B9" s="43" t="n">
        <f aca="false">B7/B8/1000000</f>
        <v>16936.8192</v>
      </c>
      <c r="C9" s="6" t="s">
        <v>317</v>
      </c>
    </row>
    <row r="10" customFormat="false" ht="15" hidden="false" customHeight="true" outlineLevel="0" collapsed="false">
      <c r="A10" s="13" t="s">
        <v>318</v>
      </c>
      <c r="B10" s="44" t="n">
        <v>1</v>
      </c>
      <c r="C10" s="6" t="s">
        <v>319</v>
      </c>
    </row>
    <row r="11" customFormat="false" ht="15" hidden="false" customHeight="true" outlineLevel="0" collapsed="false">
      <c r="A11" s="13" t="s">
        <v>320</v>
      </c>
      <c r="B11" s="45" t="n">
        <f aca="false">B51+B52</f>
        <v>125.4</v>
      </c>
      <c r="C11" s="6" t="s">
        <v>321</v>
      </c>
    </row>
    <row r="12" customFormat="false" ht="15" hidden="false" customHeight="true" outlineLevel="0" collapsed="false">
      <c r="A12" s="13" t="s">
        <v>322</v>
      </c>
      <c r="B12" s="44" t="n">
        <v>1</v>
      </c>
      <c r="C12" s="6" t="s">
        <v>323</v>
      </c>
    </row>
    <row r="13" customFormat="false" ht="15" hidden="false" customHeight="true" outlineLevel="0" collapsed="false">
      <c r="A13" s="13" t="s">
        <v>324</v>
      </c>
      <c r="B13" s="46" t="n">
        <v>28</v>
      </c>
      <c r="C13" s="6" t="s">
        <v>325</v>
      </c>
    </row>
    <row r="14" customFormat="false" ht="15" hidden="false" customHeight="true" outlineLevel="0" collapsed="false">
      <c r="A14" s="13" t="s">
        <v>326</v>
      </c>
      <c r="B14" s="47" t="n">
        <v>0</v>
      </c>
      <c r="C14" s="6" t="s">
        <v>327</v>
      </c>
    </row>
    <row r="15" customFormat="false" ht="15" hidden="false" customHeight="true" outlineLevel="0" collapsed="false">
      <c r="A15" s="13" t="s">
        <v>328</v>
      </c>
      <c r="B15" s="48" t="n">
        <v>0</v>
      </c>
      <c r="C15" s="6" t="s">
        <v>329</v>
      </c>
    </row>
    <row r="16" customFormat="false" ht="15" hidden="false" customHeight="true" outlineLevel="0" collapsed="false">
      <c r="A16" s="13" t="s">
        <v>330</v>
      </c>
      <c r="B16" s="47" t="n">
        <v>0</v>
      </c>
      <c r="C16" s="6" t="s">
        <v>329</v>
      </c>
    </row>
    <row r="17" customFormat="false" ht="15" hidden="false" customHeight="true" outlineLevel="0" collapsed="false">
      <c r="A17" s="13" t="s">
        <v>331</v>
      </c>
      <c r="B17" s="48" t="n">
        <v>0</v>
      </c>
      <c r="C17" s="6" t="s">
        <v>332</v>
      </c>
    </row>
    <row r="18" customFormat="false" ht="15" hidden="false" customHeight="true" outlineLevel="0" collapsed="false">
      <c r="A18" s="13" t="s">
        <v>333</v>
      </c>
      <c r="B18" s="43" t="n">
        <f aca="false">B9+B10*B7/1000000+B12*B11+B13-B14+B16</f>
        <v>17937.06016</v>
      </c>
      <c r="C18" s="6" t="s">
        <v>334</v>
      </c>
    </row>
    <row r="19" customFormat="false" ht="15" hidden="false" customHeight="true" outlineLevel="0" collapsed="false">
      <c r="A19" s="13" t="s">
        <v>335</v>
      </c>
      <c r="B19" s="49" t="n">
        <v>0.12</v>
      </c>
      <c r="C19" s="6" t="s">
        <v>336</v>
      </c>
    </row>
    <row r="20" customFormat="false" ht="15" hidden="false" customHeight="true" outlineLevel="0" collapsed="false">
      <c r="A20" s="13" t="s">
        <v>337</v>
      </c>
      <c r="B20" s="49" t="n">
        <v>0.025</v>
      </c>
      <c r="C20" s="6" t="s">
        <v>338</v>
      </c>
    </row>
    <row r="21" customFormat="false" ht="15" hidden="false" customHeight="true" outlineLevel="0" collapsed="false">
      <c r="A21" s="13" t="s">
        <v>339</v>
      </c>
      <c r="B21" s="49" t="n">
        <v>0.5</v>
      </c>
      <c r="C21" s="6" t="s">
        <v>340</v>
      </c>
    </row>
    <row r="22" customFormat="false" ht="15" hidden="false" customHeight="true" outlineLevel="0" collapsed="false">
      <c r="A22" s="13" t="s">
        <v>341</v>
      </c>
      <c r="B22" s="48" t="n">
        <v>1500000</v>
      </c>
      <c r="C22" s="6" t="s">
        <v>342</v>
      </c>
    </row>
    <row r="23" customFormat="false" ht="15" hidden="false" customHeight="true" outlineLevel="0" collapsed="false">
      <c r="A23" s="13" t="s">
        <v>343</v>
      </c>
      <c r="B23" s="25" t="n">
        <f aca="false">B22/B18</f>
        <v>83.6257439413081</v>
      </c>
      <c r="C23" s="6" t="s">
        <v>344</v>
      </c>
    </row>
    <row r="24" customFormat="false" ht="15" hidden="false" customHeight="true" outlineLevel="0" collapsed="false">
      <c r="A24" s="13" t="s">
        <v>345</v>
      </c>
      <c r="B24" s="44" t="n">
        <v>1</v>
      </c>
      <c r="C24" s="6" t="s">
        <v>346</v>
      </c>
    </row>
    <row r="25" customFormat="false" ht="15" hidden="false" customHeight="true" outlineLevel="0" collapsed="false">
      <c r="A25" s="13" t="s">
        <v>347</v>
      </c>
      <c r="B25" s="39" t="n">
        <v>0.02</v>
      </c>
      <c r="C25" s="6" t="s">
        <v>348</v>
      </c>
    </row>
    <row r="26" customFormat="false" ht="15" hidden="false" customHeight="true" outlineLevel="0" collapsed="false">
      <c r="A26" s="13" t="s">
        <v>349</v>
      </c>
      <c r="B26" s="39" t="n">
        <v>0.5</v>
      </c>
      <c r="C26" s="6" t="s">
        <v>350</v>
      </c>
    </row>
    <row r="27" customFormat="false" ht="15" hidden="false" customHeight="true" outlineLevel="0" collapsed="false">
      <c r="A27" s="13" t="s">
        <v>351</v>
      </c>
      <c r="B27" s="33" t="n">
        <v>40000000</v>
      </c>
      <c r="C27" s="6" t="s">
        <v>352</v>
      </c>
    </row>
    <row r="28" customFormat="false" ht="15" hidden="false" customHeight="true" outlineLevel="0" collapsed="false">
      <c r="A28" s="13" t="s">
        <v>353</v>
      </c>
      <c r="B28" s="48" t="n">
        <v>2000000</v>
      </c>
      <c r="C28" s="6" t="s">
        <v>354</v>
      </c>
    </row>
    <row r="29" customFormat="false" ht="15" hidden="false" customHeight="true" outlineLevel="0" collapsed="false">
      <c r="A29" s="13" t="s">
        <v>355</v>
      </c>
      <c r="B29" s="48" t="n">
        <v>5000</v>
      </c>
      <c r="C29" s="6" t="s">
        <v>356</v>
      </c>
    </row>
    <row r="30" customFormat="false" ht="15" hidden="false" customHeight="true" outlineLevel="0" collapsed="false">
      <c r="A30" s="13" t="s">
        <v>357</v>
      </c>
      <c r="B30" s="49" t="n">
        <v>0.15</v>
      </c>
      <c r="C30" s="6" t="s">
        <v>358</v>
      </c>
    </row>
    <row r="31" customFormat="false" ht="15" hidden="false" customHeight="true" outlineLevel="0" collapsed="false">
      <c r="A31" s="13" t="s">
        <v>359</v>
      </c>
      <c r="B31" s="49" t="n">
        <v>0.03</v>
      </c>
      <c r="C31" s="6" t="s">
        <v>360</v>
      </c>
    </row>
    <row r="32" customFormat="false" ht="15" hidden="false" customHeight="true" outlineLevel="0" collapsed="false">
      <c r="A32" s="13" t="s">
        <v>361</v>
      </c>
      <c r="B32" s="44" t="n">
        <v>5</v>
      </c>
      <c r="C32" s="6" t="s">
        <v>362</v>
      </c>
    </row>
    <row r="33" customFormat="false" ht="15" hidden="false" customHeight="true" outlineLevel="0" collapsed="false">
      <c r="A33" s="13" t="s">
        <v>363</v>
      </c>
      <c r="B33" s="49" t="n">
        <v>0</v>
      </c>
      <c r="C33" s="6" t="s">
        <v>364</v>
      </c>
    </row>
    <row r="34" customFormat="false" ht="15" hidden="false" customHeight="true" outlineLevel="0" collapsed="false">
      <c r="A34" s="13" t="s">
        <v>365</v>
      </c>
      <c r="B34" s="44" t="n">
        <v>0</v>
      </c>
      <c r="C34" s="6" t="s">
        <v>366</v>
      </c>
    </row>
    <row r="35" customFormat="false" ht="15" hidden="false" customHeight="true" outlineLevel="0" collapsed="false">
      <c r="A35" s="13" t="s">
        <v>367</v>
      </c>
      <c r="B35" s="44" t="n">
        <v>1</v>
      </c>
      <c r="C35" s="6" t="s">
        <v>368</v>
      </c>
    </row>
    <row r="36" customFormat="false" ht="15" hidden="false" customHeight="true" outlineLevel="0" collapsed="false">
      <c r="A36" s="13" t="s">
        <v>369</v>
      </c>
      <c r="B36" s="49" t="n">
        <v>0.05</v>
      </c>
      <c r="C36" s="6" t="s">
        <v>370</v>
      </c>
    </row>
    <row r="37" customFormat="false" ht="15" hidden="false" customHeight="true" outlineLevel="0" collapsed="false">
      <c r="A37" s="13" t="s">
        <v>371</v>
      </c>
      <c r="B37" s="41" t="n">
        <f aca="false">Historicals!B94</f>
        <v>1960</v>
      </c>
      <c r="C37" s="6" t="s">
        <v>372</v>
      </c>
    </row>
    <row r="38" customFormat="false" ht="15" hidden="false" customHeight="true" outlineLevel="0" collapsed="false">
      <c r="A38" s="13" t="s">
        <v>373</v>
      </c>
      <c r="B38" s="33" t="n">
        <v>5000</v>
      </c>
      <c r="C38" s="6" t="s">
        <v>374</v>
      </c>
    </row>
    <row r="39" customFormat="false" ht="15" hidden="false" customHeight="true" outlineLevel="0" collapsed="false">
      <c r="A39" s="13" t="s">
        <v>375</v>
      </c>
      <c r="B39" s="49" t="n">
        <v>1</v>
      </c>
      <c r="C39" s="6" t="s">
        <v>376</v>
      </c>
    </row>
    <row r="40" customFormat="false" ht="15" hidden="false" customHeight="true" outlineLevel="0" collapsed="false">
      <c r="A40" s="13" t="s">
        <v>377</v>
      </c>
      <c r="B40" s="44" t="n">
        <v>3</v>
      </c>
      <c r="C40" s="6" t="s">
        <v>378</v>
      </c>
    </row>
    <row r="41" customFormat="false" ht="15" hidden="false" customHeight="true" outlineLevel="0" collapsed="false">
      <c r="A41" s="13" t="s">
        <v>379</v>
      </c>
      <c r="B41" s="41" t="n">
        <f aca="false">Historicals!B97</f>
        <v>131845</v>
      </c>
      <c r="C41" s="6" t="s">
        <v>380</v>
      </c>
    </row>
    <row r="42" customFormat="false" ht="15" hidden="false" customHeight="true" outlineLevel="0" collapsed="false">
      <c r="A42" s="13" t="s">
        <v>381</v>
      </c>
      <c r="B42" s="33" t="n">
        <v>895400</v>
      </c>
      <c r="C42" s="6" t="s">
        <v>382</v>
      </c>
    </row>
    <row r="43" customFormat="false" ht="15" hidden="false" customHeight="true" outlineLevel="0" collapsed="false">
      <c r="A43" s="13" t="s">
        <v>383</v>
      </c>
      <c r="B43" s="33" t="n">
        <v>447500</v>
      </c>
      <c r="C43" s="6" t="s">
        <v>384</v>
      </c>
    </row>
    <row r="44" customFormat="false" ht="15" hidden="false" customHeight="true" outlineLevel="0" collapsed="false">
      <c r="A44" s="13" t="s">
        <v>385</v>
      </c>
      <c r="B44" s="33" t="n">
        <v>69800</v>
      </c>
      <c r="C44" s="6" t="s">
        <v>386</v>
      </c>
    </row>
    <row r="45" customFormat="false" ht="15" hidden="false" customHeight="true" outlineLevel="0" collapsed="false">
      <c r="A45" s="13" t="s">
        <v>387</v>
      </c>
      <c r="B45" s="33" t="n">
        <v>213800</v>
      </c>
      <c r="C45" s="6" t="s">
        <v>388</v>
      </c>
    </row>
    <row r="46" customFormat="false" ht="15" hidden="false" customHeight="true" outlineLevel="0" collapsed="false">
      <c r="A46" s="13" t="s">
        <v>389</v>
      </c>
      <c r="B46" s="49" t="n">
        <v>0.25</v>
      </c>
      <c r="C46" s="6" t="s">
        <v>390</v>
      </c>
    </row>
    <row r="47" customFormat="false" ht="15" hidden="false" customHeight="true" outlineLevel="0" collapsed="false">
      <c r="A47" s="13" t="s">
        <v>391</v>
      </c>
      <c r="B47" s="35" t="n">
        <f aca="false">17400+6600</f>
        <v>24000</v>
      </c>
      <c r="C47" s="6" t="s">
        <v>392</v>
      </c>
    </row>
    <row r="48" customFormat="false" ht="15" hidden="false" customHeight="true" outlineLevel="0" collapsed="false">
      <c r="A48" s="13" t="s">
        <v>393</v>
      </c>
      <c r="B48" s="33" t="n">
        <v>451200</v>
      </c>
      <c r="C48" s="6" t="s">
        <v>394</v>
      </c>
    </row>
    <row r="49" customFormat="false" ht="15" hidden="false" customHeight="true" outlineLevel="0" collapsed="false">
      <c r="A49" s="13" t="s">
        <v>395</v>
      </c>
      <c r="B49" s="33" t="n">
        <v>100200</v>
      </c>
      <c r="C49" s="6" t="s">
        <v>396</v>
      </c>
    </row>
    <row r="50" customFormat="false" ht="15" hidden="false" customHeight="true" outlineLevel="0" collapsed="false">
      <c r="A50" s="13" t="s">
        <v>397</v>
      </c>
      <c r="B50" s="33" t="n">
        <v>4300</v>
      </c>
      <c r="C50" s="6" t="s">
        <v>398</v>
      </c>
    </row>
    <row r="51" customFormat="false" ht="15" hidden="false" customHeight="true" outlineLevel="0" collapsed="false">
      <c r="A51" s="13" t="s">
        <v>399</v>
      </c>
      <c r="B51" s="45" t="n">
        <f aca="false">1128-1049.6</f>
        <v>78.4000000000001</v>
      </c>
      <c r="C51" s="6" t="s">
        <v>400</v>
      </c>
    </row>
    <row r="52" customFormat="false" ht="15" hidden="false" customHeight="true" outlineLevel="0" collapsed="false">
      <c r="A52" s="13" t="s">
        <v>401</v>
      </c>
      <c r="B52" s="46" t="n">
        <v>47</v>
      </c>
      <c r="C52" s="6" t="s">
        <v>402</v>
      </c>
    </row>
    <row r="54" customFormat="false" ht="15" hidden="false" customHeight="true" outlineLevel="0" collapsed="false">
      <c r="A54" s="8" t="s">
        <v>403</v>
      </c>
      <c r="B54" s="9" t="s">
        <v>75</v>
      </c>
      <c r="C54" s="9" t="s">
        <v>307</v>
      </c>
    </row>
    <row r="55" customFormat="false" ht="15" hidden="false" customHeight="true" outlineLevel="0" collapsed="false">
      <c r="A55" s="13" t="s">
        <v>404</v>
      </c>
      <c r="B55" s="49" t="n">
        <v>0.21</v>
      </c>
      <c r="C55" s="6" t="s">
        <v>405</v>
      </c>
    </row>
    <row r="56" customFormat="false" ht="15" hidden="false" customHeight="true" outlineLevel="0" collapsed="false">
      <c r="A56" s="13" t="s">
        <v>406</v>
      </c>
      <c r="B56" s="33" t="n">
        <v>8200</v>
      </c>
      <c r="C56" s="6" t="s">
        <v>407</v>
      </c>
    </row>
    <row r="57" customFormat="false" ht="15" hidden="false" customHeight="true" outlineLevel="0" collapsed="false">
      <c r="A57" s="13" t="s">
        <v>408</v>
      </c>
      <c r="B57" s="39" t="n">
        <v>0.8</v>
      </c>
      <c r="C57" s="6" t="s">
        <v>409</v>
      </c>
    </row>
    <row r="58" customFormat="false" ht="15" hidden="false" customHeight="true" outlineLevel="0" collapsed="false">
      <c r="A58" s="13" t="s">
        <v>410</v>
      </c>
      <c r="B58" s="49" t="n">
        <v>0.72</v>
      </c>
      <c r="C58" s="6" t="s">
        <v>411</v>
      </c>
    </row>
    <row r="59" customFormat="false" ht="15" hidden="false" customHeight="true" outlineLevel="0" collapsed="false">
      <c r="A59" s="13" t="s">
        <v>412</v>
      </c>
      <c r="B59" s="49" t="n">
        <v>0.06</v>
      </c>
      <c r="C59" s="6" t="s">
        <v>413</v>
      </c>
    </row>
    <row r="60" customFormat="false" ht="15" hidden="false" customHeight="true" outlineLevel="0" collapsed="false">
      <c r="A60" s="13" t="s">
        <v>414</v>
      </c>
      <c r="B60" s="33" t="n">
        <v>4200</v>
      </c>
      <c r="C60" s="6" t="s">
        <v>415</v>
      </c>
    </row>
    <row r="61" customFormat="false" ht="15" hidden="false" customHeight="true" outlineLevel="0" collapsed="false">
      <c r="A61" s="13" t="s">
        <v>416</v>
      </c>
      <c r="B61" s="44" t="n">
        <v>1</v>
      </c>
      <c r="C61" s="6" t="s">
        <v>417</v>
      </c>
    </row>
    <row r="62" customFormat="false" ht="15" hidden="false" customHeight="true" outlineLevel="0" collapsed="false">
      <c r="A62" s="13" t="s">
        <v>418</v>
      </c>
      <c r="B62" s="48" t="n">
        <v>0</v>
      </c>
      <c r="C62" s="6" t="s">
        <v>419</v>
      </c>
    </row>
    <row r="63" customFormat="false" ht="15" hidden="false" customHeight="true" outlineLevel="0" collapsed="false">
      <c r="A63" s="13" t="s">
        <v>420</v>
      </c>
      <c r="B63" s="44" t="n">
        <v>2026</v>
      </c>
      <c r="C63" s="6" t="s">
        <v>421</v>
      </c>
    </row>
    <row r="65" customFormat="false" ht="15" hidden="false" customHeight="true" outlineLevel="0" collapsed="false">
      <c r="A65" s="8" t="s">
        <v>422</v>
      </c>
      <c r="B65" s="9" t="s">
        <v>423</v>
      </c>
      <c r="C65" s="9" t="s">
        <v>424</v>
      </c>
      <c r="D65" s="9" t="s">
        <v>425</v>
      </c>
      <c r="E65" s="9" t="s">
        <v>426</v>
      </c>
      <c r="F65" s="9" t="s">
        <v>427</v>
      </c>
    </row>
    <row r="66" customFormat="false" ht="15" hidden="false" customHeight="true" outlineLevel="0" collapsed="false">
      <c r="A66" s="13" t="s">
        <v>428</v>
      </c>
      <c r="B66" s="39" t="n">
        <v>0</v>
      </c>
      <c r="C66" s="39" t="n">
        <v>0.1</v>
      </c>
      <c r="D66" s="39" t="n">
        <v>0.15</v>
      </c>
      <c r="E66" s="39" t="n">
        <v>0.21</v>
      </c>
      <c r="F66" s="39" t="n">
        <v>0.21</v>
      </c>
    </row>
    <row r="67" customFormat="false" ht="15" hidden="false" customHeight="true" outlineLevel="0" collapsed="false">
      <c r="A67" s="13" t="s">
        <v>429</v>
      </c>
      <c r="B67" s="49" t="n">
        <v>0.03</v>
      </c>
      <c r="C67" s="49" t="n">
        <v>0.04</v>
      </c>
      <c r="D67" s="49" t="n">
        <v>0.05</v>
      </c>
      <c r="E67" s="49" t="n">
        <v>0.05</v>
      </c>
      <c r="F67" s="49" t="n">
        <v>0.05</v>
      </c>
    </row>
    <row r="68" customFormat="false" ht="15" hidden="false" customHeight="true" outlineLevel="0" collapsed="false">
      <c r="A68" s="13" t="s">
        <v>430</v>
      </c>
      <c r="B68" s="48" t="n">
        <v>0</v>
      </c>
      <c r="C68" s="48" t="n">
        <v>0</v>
      </c>
      <c r="D68" s="48" t="n">
        <v>0</v>
      </c>
      <c r="E68" s="48" t="n">
        <v>0</v>
      </c>
      <c r="F68" s="48" t="n">
        <v>0</v>
      </c>
    </row>
    <row r="69" customFormat="false" ht="15" hidden="false" customHeight="true" outlineLevel="0" collapsed="false">
      <c r="A69" s="13" t="s">
        <v>431</v>
      </c>
      <c r="B69" s="33" t="n">
        <v>5231</v>
      </c>
      <c r="C69" s="33" t="n">
        <v>29165</v>
      </c>
      <c r="D69" s="33" t="n">
        <v>44357</v>
      </c>
      <c r="E69" s="33" t="n">
        <v>47752</v>
      </c>
      <c r="F69" s="33" t="n">
        <v>45070</v>
      </c>
      <c r="G69" s="33" t="n">
        <v>148418</v>
      </c>
      <c r="H69" s="6" t="s">
        <v>432</v>
      </c>
    </row>
    <row r="70" customFormat="false" ht="15" hidden="false" customHeight="true" outlineLevel="0" collapsed="false">
      <c r="A70" s="13" t="s">
        <v>433</v>
      </c>
      <c r="B70" s="35" t="n">
        <f aca="false">$B$43-SUM(B69:F69)-$B$47</f>
        <v>251925</v>
      </c>
      <c r="H70" s="6" t="s">
        <v>434</v>
      </c>
    </row>
    <row r="71" customFormat="false" ht="15" hidden="false" customHeight="true" outlineLevel="0" collapsed="false">
      <c r="A71" s="13" t="s">
        <v>435</v>
      </c>
      <c r="B71" s="35" t="n">
        <f aca="false">SUM(B69:G69)+$B$47+$B$48+$B$49-$B$42</f>
        <v>-7</v>
      </c>
      <c r="H71" s="6" t="s">
        <v>436</v>
      </c>
    </row>
    <row r="72" customFormat="false" ht="15" hidden="false" customHeight="true" outlineLevel="0" collapsed="false">
      <c r="A72" s="6" t="s">
        <v>437</v>
      </c>
    </row>
    <row r="74" customFormat="false" ht="15" hidden="false" customHeight="true" outlineLevel="0" collapsed="false">
      <c r="A74" s="8" t="s">
        <v>438</v>
      </c>
      <c r="B74" s="9" t="s">
        <v>60</v>
      </c>
      <c r="C74" s="9" t="s">
        <v>61</v>
      </c>
      <c r="D74" s="9" t="s">
        <v>62</v>
      </c>
      <c r="E74" s="9" t="s">
        <v>439</v>
      </c>
      <c r="G74" s="8" t="s">
        <v>440</v>
      </c>
      <c r="H74" s="9" t="s">
        <v>441</v>
      </c>
      <c r="I74" s="9" t="s">
        <v>442</v>
      </c>
      <c r="J74" s="9" t="s">
        <v>443</v>
      </c>
      <c r="K74" s="9" t="s">
        <v>444</v>
      </c>
      <c r="L74" s="9" t="s">
        <v>445</v>
      </c>
      <c r="M74" s="9" t="s">
        <v>446</v>
      </c>
      <c r="N74" s="9" t="s">
        <v>447</v>
      </c>
      <c r="O74" s="9" t="s">
        <v>448</v>
      </c>
      <c r="P74" s="9" t="s">
        <v>449</v>
      </c>
      <c r="Q74" s="9" t="s">
        <v>450</v>
      </c>
      <c r="R74" s="9" t="s">
        <v>451</v>
      </c>
      <c r="S74" s="9" t="s">
        <v>452</v>
      </c>
      <c r="T74" s="9" t="s">
        <v>453</v>
      </c>
      <c r="U74" s="9" t="s">
        <v>454</v>
      </c>
    </row>
    <row r="75" customFormat="false" ht="15" hidden="false" customHeight="true" outlineLevel="0" collapsed="false">
      <c r="A75" s="13" t="s">
        <v>455</v>
      </c>
      <c r="B75" s="48" t="n">
        <v>18500</v>
      </c>
      <c r="C75" s="48" t="n">
        <v>21000</v>
      </c>
      <c r="D75" s="48" t="n">
        <v>24000</v>
      </c>
      <c r="E75" s="6" t="s">
        <v>456</v>
      </c>
      <c r="G75" s="35" t="n">
        <f aca="false">$C75</f>
        <v>21000</v>
      </c>
      <c r="H75" s="35" t="n">
        <f aca="false">$C75</f>
        <v>21000</v>
      </c>
      <c r="I75" s="35" t="n">
        <f aca="false">$C75</f>
        <v>21000</v>
      </c>
      <c r="J75" s="35" t="n">
        <f aca="false">$C75</f>
        <v>21000</v>
      </c>
      <c r="K75" s="35" t="n">
        <f aca="false">$C75</f>
        <v>21000</v>
      </c>
      <c r="L75" s="35" t="n">
        <f aca="false">$C75</f>
        <v>21000</v>
      </c>
      <c r="M75" s="35" t="n">
        <f aca="false">$C75</f>
        <v>21000</v>
      </c>
      <c r="N75" s="35" t="n">
        <f aca="false">$C75</f>
        <v>21000</v>
      </c>
      <c r="O75" s="35" t="n">
        <f aca="false">$C75</f>
        <v>21000</v>
      </c>
      <c r="P75" s="35" t="n">
        <f aca="false">$C75</f>
        <v>21000</v>
      </c>
      <c r="Q75" s="35" t="n">
        <f aca="false">$C75</f>
        <v>21000</v>
      </c>
      <c r="R75" s="35" t="n">
        <f aca="false">$C75</f>
        <v>21000</v>
      </c>
      <c r="S75" s="35" t="n">
        <f aca="false">$C75</f>
        <v>21000</v>
      </c>
      <c r="T75" s="35" t="n">
        <f aca="false">$C75</f>
        <v>21000</v>
      </c>
      <c r="U75" s="35" t="n">
        <f aca="false">$C75</f>
        <v>21000</v>
      </c>
    </row>
    <row r="76" customFormat="false" ht="15" hidden="false" customHeight="true" outlineLevel="0" collapsed="false">
      <c r="A76" s="13" t="s">
        <v>457</v>
      </c>
      <c r="B76" s="49" t="n">
        <v>0.22</v>
      </c>
      <c r="C76" s="49" t="n">
        <v>0.2</v>
      </c>
      <c r="D76" s="49" t="n">
        <v>0.18</v>
      </c>
      <c r="E76" s="6" t="s">
        <v>458</v>
      </c>
      <c r="G76" s="16" t="n">
        <f aca="false">$C76</f>
        <v>0.2</v>
      </c>
      <c r="H76" s="16" t="n">
        <f aca="false">$C76</f>
        <v>0.2</v>
      </c>
      <c r="I76" s="16" t="n">
        <f aca="false">$C76</f>
        <v>0.2</v>
      </c>
      <c r="J76" s="16" t="n">
        <f aca="false">$C76</f>
        <v>0.2</v>
      </c>
      <c r="K76" s="16" t="n">
        <f aca="false">$C76</f>
        <v>0.2</v>
      </c>
      <c r="L76" s="16" t="n">
        <f aca="false">$C76</f>
        <v>0.2</v>
      </c>
      <c r="M76" s="16" t="n">
        <f aca="false">$C76</f>
        <v>0.2</v>
      </c>
      <c r="N76" s="16" t="n">
        <f aca="false">$C76</f>
        <v>0.2</v>
      </c>
      <c r="O76" s="16" t="n">
        <f aca="false">$C76</f>
        <v>0.2</v>
      </c>
      <c r="P76" s="16" t="n">
        <f aca="false">$C76</f>
        <v>0.2</v>
      </c>
      <c r="Q76" s="16" t="n">
        <f aca="false">$C76</f>
        <v>0.2</v>
      </c>
      <c r="R76" s="16" t="n">
        <f aca="false">$C76</f>
        <v>0.2</v>
      </c>
      <c r="S76" s="16" t="n">
        <f aca="false">$C76</f>
        <v>0.2</v>
      </c>
      <c r="T76" s="16" t="n">
        <f aca="false">$C76</f>
        <v>0.2</v>
      </c>
      <c r="U76" s="16" t="n">
        <f aca="false">$C76</f>
        <v>0.2</v>
      </c>
    </row>
    <row r="77" customFormat="false" ht="15" hidden="false" customHeight="true" outlineLevel="0" collapsed="false">
      <c r="A77" s="13" t="s">
        <v>459</v>
      </c>
      <c r="B77" s="49" t="n">
        <v>0.6</v>
      </c>
      <c r="C77" s="49" t="n">
        <v>1</v>
      </c>
      <c r="D77" s="49" t="n">
        <v>1.5</v>
      </c>
      <c r="E77" s="6" t="s">
        <v>460</v>
      </c>
      <c r="G77" s="16" t="n">
        <f aca="false">0</f>
        <v>0</v>
      </c>
      <c r="H77" s="16" t="n">
        <f aca="false">$C77</f>
        <v>1</v>
      </c>
      <c r="I77" s="16" t="n">
        <f aca="false">$C77*0.5</f>
        <v>0.5</v>
      </c>
      <c r="J77" s="16" t="n">
        <f aca="false">$C77</f>
        <v>1</v>
      </c>
      <c r="K77" s="16" t="n">
        <f aca="false">$C77</f>
        <v>1</v>
      </c>
      <c r="L77" s="16" t="n">
        <f aca="false">$C77*0.5</f>
        <v>0.5</v>
      </c>
      <c r="M77" s="16" t="n">
        <f aca="false">$C77</f>
        <v>1</v>
      </c>
      <c r="N77" s="16" t="n">
        <f aca="false">$C77</f>
        <v>1</v>
      </c>
      <c r="O77" s="16" t="n">
        <f aca="false">$C77</f>
        <v>1</v>
      </c>
      <c r="P77" s="16" t="n">
        <f aca="false">$C77</f>
        <v>1</v>
      </c>
      <c r="Q77" s="16" t="n">
        <f aca="false">$C77</f>
        <v>1</v>
      </c>
      <c r="R77" s="16" t="n">
        <f aca="false">$C77</f>
        <v>1</v>
      </c>
      <c r="S77" s="16" t="n">
        <f aca="false">$C77</f>
        <v>1</v>
      </c>
      <c r="T77" s="16" t="n">
        <f aca="false">$C77</f>
        <v>1</v>
      </c>
      <c r="U77" s="16" t="n">
        <f aca="false">$C77</f>
        <v>1</v>
      </c>
    </row>
    <row r="78" customFormat="false" ht="15" hidden="false" customHeight="true" outlineLevel="0" collapsed="false">
      <c r="A78" s="13" t="s">
        <v>461</v>
      </c>
      <c r="B78" s="49" t="n">
        <v>0.3</v>
      </c>
      <c r="C78" s="49" t="n">
        <v>0.55</v>
      </c>
      <c r="D78" s="49" t="n">
        <v>0.8</v>
      </c>
      <c r="G78" s="16" t="n">
        <f aca="false">0</f>
        <v>0</v>
      </c>
      <c r="H78" s="16" t="n">
        <f aca="false">$C78</f>
        <v>0.55</v>
      </c>
      <c r="I78" s="16" t="n">
        <f aca="false">$C78*0.5</f>
        <v>0.275</v>
      </c>
      <c r="J78" s="16" t="n">
        <f aca="false">$C78</f>
        <v>0.55</v>
      </c>
      <c r="K78" s="16" t="n">
        <f aca="false">$C78</f>
        <v>0.55</v>
      </c>
      <c r="L78" s="16" t="n">
        <f aca="false">$C78*0.5</f>
        <v>0.275</v>
      </c>
      <c r="M78" s="16" t="n">
        <f aca="false">$C78</f>
        <v>0.55</v>
      </c>
      <c r="N78" s="16" t="n">
        <f aca="false">$C78</f>
        <v>0.55</v>
      </c>
      <c r="O78" s="16" t="n">
        <f aca="false">$C78</f>
        <v>0.55</v>
      </c>
      <c r="P78" s="16" t="n">
        <f aca="false">$C78</f>
        <v>0.55</v>
      </c>
      <c r="Q78" s="16" t="n">
        <f aca="false">$C78</f>
        <v>0.55</v>
      </c>
      <c r="R78" s="16" t="n">
        <f aca="false">$C78</f>
        <v>0.55</v>
      </c>
      <c r="S78" s="16" t="n">
        <f aca="false">$C78</f>
        <v>0.55</v>
      </c>
      <c r="T78" s="16" t="n">
        <f aca="false">$C78</f>
        <v>0.55</v>
      </c>
      <c r="U78" s="16" t="n">
        <f aca="false">$C78</f>
        <v>0.55</v>
      </c>
    </row>
    <row r="79" customFormat="false" ht="15" hidden="false" customHeight="true" outlineLevel="0" collapsed="false">
      <c r="A79" s="13" t="s">
        <v>462</v>
      </c>
      <c r="B79" s="49" t="n">
        <v>0.2</v>
      </c>
      <c r="C79" s="49" t="n">
        <v>0.35</v>
      </c>
      <c r="D79" s="49" t="n">
        <v>0.5</v>
      </c>
      <c r="G79" s="16" t="n">
        <f aca="false">0</f>
        <v>0</v>
      </c>
      <c r="H79" s="16" t="n">
        <f aca="false">$C79</f>
        <v>0.35</v>
      </c>
      <c r="I79" s="16" t="n">
        <f aca="false">$C79*0.5</f>
        <v>0.175</v>
      </c>
      <c r="J79" s="16" t="n">
        <f aca="false">$C79</f>
        <v>0.35</v>
      </c>
      <c r="K79" s="16" t="n">
        <f aca="false">$C79</f>
        <v>0.35</v>
      </c>
      <c r="L79" s="16" t="n">
        <f aca="false">$C79*0.5</f>
        <v>0.175</v>
      </c>
      <c r="M79" s="16" t="n">
        <f aca="false">$C79</f>
        <v>0.35</v>
      </c>
      <c r="N79" s="16" t="n">
        <f aca="false">$C79</f>
        <v>0.35</v>
      </c>
      <c r="O79" s="16" t="n">
        <f aca="false">$C79</f>
        <v>0.35</v>
      </c>
      <c r="P79" s="16" t="n">
        <f aca="false">$C79</f>
        <v>0.35</v>
      </c>
      <c r="Q79" s="16" t="n">
        <f aca="false">$C79</f>
        <v>0.35</v>
      </c>
      <c r="R79" s="16" t="n">
        <f aca="false">$C79</f>
        <v>0.35</v>
      </c>
      <c r="S79" s="16" t="n">
        <f aca="false">$C79</f>
        <v>0.35</v>
      </c>
      <c r="T79" s="16" t="n">
        <f aca="false">$C79</f>
        <v>0.35</v>
      </c>
      <c r="U79" s="16" t="n">
        <f aca="false">$C79</f>
        <v>0.35</v>
      </c>
    </row>
    <row r="80" customFormat="false" ht="15" hidden="false" customHeight="true" outlineLevel="0" collapsed="false">
      <c r="A80" s="13" t="s">
        <v>463</v>
      </c>
      <c r="B80" s="49" t="n">
        <v>0.15</v>
      </c>
      <c r="C80" s="49" t="n">
        <v>0.25</v>
      </c>
      <c r="D80" s="49" t="n">
        <v>0.35</v>
      </c>
      <c r="G80" s="16" t="n">
        <f aca="false">0</f>
        <v>0</v>
      </c>
      <c r="H80" s="16" t="n">
        <f aca="false">$C80</f>
        <v>0.25</v>
      </c>
      <c r="I80" s="16" t="n">
        <f aca="false">$C80*0.5</f>
        <v>0.125</v>
      </c>
      <c r="J80" s="16" t="n">
        <f aca="false">$C80</f>
        <v>0.25</v>
      </c>
      <c r="K80" s="16" t="n">
        <f aca="false">$C80</f>
        <v>0.25</v>
      </c>
      <c r="L80" s="16" t="n">
        <f aca="false">$C80*0.5</f>
        <v>0.125</v>
      </c>
      <c r="M80" s="16" t="n">
        <f aca="false">$C80</f>
        <v>0.25</v>
      </c>
      <c r="N80" s="16" t="n">
        <f aca="false">$C80</f>
        <v>0.25</v>
      </c>
      <c r="O80" s="16" t="n">
        <f aca="false">$C80</f>
        <v>0.25</v>
      </c>
      <c r="P80" s="16" t="n">
        <f aca="false">$C80</f>
        <v>0.25</v>
      </c>
      <c r="Q80" s="16" t="n">
        <f aca="false">$C80</f>
        <v>0.25</v>
      </c>
      <c r="R80" s="16" t="n">
        <f aca="false">$C80</f>
        <v>0.25</v>
      </c>
      <c r="S80" s="16" t="n">
        <f aca="false">$C80</f>
        <v>0.25</v>
      </c>
      <c r="T80" s="16" t="n">
        <f aca="false">$C80</f>
        <v>0.25</v>
      </c>
      <c r="U80" s="16" t="n">
        <f aca="false">$C80</f>
        <v>0.25</v>
      </c>
    </row>
    <row r="81" customFormat="false" ht="15" hidden="false" customHeight="true" outlineLevel="0" collapsed="false">
      <c r="A81" s="13" t="s">
        <v>464</v>
      </c>
      <c r="B81" s="49" t="n">
        <v>0.5</v>
      </c>
      <c r="C81" s="49" t="n">
        <v>0.45</v>
      </c>
      <c r="D81" s="49" t="n">
        <v>0.42</v>
      </c>
      <c r="E81" s="6" t="s">
        <v>465</v>
      </c>
      <c r="G81" s="16" t="n">
        <f aca="false">$C81</f>
        <v>0.45</v>
      </c>
      <c r="H81" s="16" t="n">
        <f aca="false">$C81</f>
        <v>0.45</v>
      </c>
      <c r="I81" s="16" t="n">
        <f aca="false">$C81</f>
        <v>0.45</v>
      </c>
      <c r="J81" s="16" t="n">
        <f aca="false">$C81</f>
        <v>0.45</v>
      </c>
      <c r="K81" s="16" t="n">
        <f aca="false">$C81</f>
        <v>0.45</v>
      </c>
      <c r="L81" s="16" t="n">
        <f aca="false">$C81</f>
        <v>0.45</v>
      </c>
      <c r="M81" s="16" t="n">
        <f aca="false">$C81</f>
        <v>0.45</v>
      </c>
      <c r="N81" s="16" t="n">
        <f aca="false">$C81</f>
        <v>0.45</v>
      </c>
      <c r="O81" s="16" t="n">
        <f aca="false">$C81</f>
        <v>0.45</v>
      </c>
      <c r="P81" s="16" t="n">
        <f aca="false">$C81</f>
        <v>0.45</v>
      </c>
      <c r="Q81" s="16" t="n">
        <f aca="false">$C81</f>
        <v>0.45</v>
      </c>
      <c r="R81" s="16" t="n">
        <f aca="false">$C81</f>
        <v>0.45</v>
      </c>
      <c r="S81" s="16" t="n">
        <f aca="false">$C81</f>
        <v>0.45</v>
      </c>
      <c r="T81" s="16" t="n">
        <f aca="false">$C81</f>
        <v>0.45</v>
      </c>
      <c r="U81" s="16" t="n">
        <f aca="false">$C81</f>
        <v>0.45</v>
      </c>
    </row>
    <row r="82" customFormat="false" ht="15" hidden="false" customHeight="true" outlineLevel="0" collapsed="false">
      <c r="A82" s="13" t="s">
        <v>466</v>
      </c>
      <c r="B82" s="49" t="n">
        <v>0.6</v>
      </c>
      <c r="C82" s="49" t="n">
        <v>0.7</v>
      </c>
      <c r="D82" s="49" t="n">
        <v>0.9</v>
      </c>
      <c r="E82" s="6" t="s">
        <v>467</v>
      </c>
      <c r="G82" s="16" t="n">
        <f aca="false">$C82</f>
        <v>0.7</v>
      </c>
      <c r="H82" s="16" t="n">
        <f aca="false">(1+$C82)*1.2-1</f>
        <v>1.04</v>
      </c>
      <c r="I82" s="16" t="n">
        <f aca="false">$C82</f>
        <v>0.7</v>
      </c>
      <c r="J82" s="16" t="n">
        <f aca="false">$C82</f>
        <v>0.7</v>
      </c>
      <c r="K82" s="16" t="n">
        <f aca="false">$C82</f>
        <v>0.7</v>
      </c>
      <c r="L82" s="16" t="n">
        <f aca="false">(1+$C82)*1.2-1</f>
        <v>1.04</v>
      </c>
      <c r="M82" s="16" t="n">
        <f aca="false">$C82</f>
        <v>0.7</v>
      </c>
      <c r="N82" s="16" t="n">
        <f aca="false">$C82</f>
        <v>0.7</v>
      </c>
      <c r="O82" s="16" t="n">
        <f aca="false">$C82</f>
        <v>0.7</v>
      </c>
      <c r="P82" s="16" t="n">
        <f aca="false">$C82</f>
        <v>0.7</v>
      </c>
      <c r="Q82" s="16" t="n">
        <f aca="false">$C82</f>
        <v>0.7</v>
      </c>
      <c r="R82" s="16" t="n">
        <f aca="false">$C82</f>
        <v>0.7</v>
      </c>
      <c r="S82" s="16" t="n">
        <f aca="false">$C82</f>
        <v>0.7</v>
      </c>
      <c r="T82" s="16" t="n">
        <f aca="false">$C82</f>
        <v>0.7</v>
      </c>
      <c r="U82" s="16" t="n">
        <f aca="false">$C82</f>
        <v>0.7</v>
      </c>
    </row>
    <row r="83" customFormat="false" ht="15" hidden="false" customHeight="true" outlineLevel="0" collapsed="false">
      <c r="A83" s="13" t="s">
        <v>468</v>
      </c>
      <c r="B83" s="49" t="n">
        <v>0.3</v>
      </c>
      <c r="C83" s="49" t="n">
        <v>0.45</v>
      </c>
      <c r="D83" s="49" t="n">
        <v>0.6</v>
      </c>
      <c r="G83" s="16" t="n">
        <f aca="false">$C83</f>
        <v>0.45</v>
      </c>
      <c r="H83" s="16" t="n">
        <f aca="false">$C83</f>
        <v>0.45</v>
      </c>
      <c r="I83" s="16" t="n">
        <f aca="false">$C83</f>
        <v>0.45</v>
      </c>
      <c r="J83" s="16" t="n">
        <f aca="false">$C83</f>
        <v>0.45</v>
      </c>
      <c r="K83" s="16" t="n">
        <f aca="false">$C83</f>
        <v>0.45</v>
      </c>
      <c r="L83" s="16" t="n">
        <f aca="false">$C83</f>
        <v>0.45</v>
      </c>
      <c r="M83" s="16" t="n">
        <f aca="false">$C83</f>
        <v>0.45</v>
      </c>
      <c r="N83" s="16" t="n">
        <f aca="false">$C83</f>
        <v>0.45</v>
      </c>
      <c r="O83" s="16" t="n">
        <f aca="false">$C83</f>
        <v>0.45</v>
      </c>
      <c r="P83" s="16" t="n">
        <f aca="false">$C83</f>
        <v>0.45</v>
      </c>
      <c r="Q83" s="16" t="n">
        <f aca="false">$C83</f>
        <v>0.45</v>
      </c>
      <c r="R83" s="16" t="n">
        <f aca="false">$C83</f>
        <v>0.45</v>
      </c>
      <c r="S83" s="16" t="n">
        <f aca="false">$C83</f>
        <v>0.45</v>
      </c>
      <c r="T83" s="16" t="n">
        <f aca="false">$C83</f>
        <v>0.45</v>
      </c>
      <c r="U83" s="16" t="n">
        <f aca="false">$C83</f>
        <v>0.45</v>
      </c>
    </row>
    <row r="84" customFormat="false" ht="15" hidden="false" customHeight="true" outlineLevel="0" collapsed="false">
      <c r="A84" s="13" t="s">
        <v>469</v>
      </c>
      <c r="B84" s="49" t="n">
        <v>0.2</v>
      </c>
      <c r="C84" s="49" t="n">
        <v>0.3</v>
      </c>
      <c r="D84" s="49" t="n">
        <v>0.45</v>
      </c>
      <c r="G84" s="16" t="n">
        <f aca="false">$C84</f>
        <v>0.3</v>
      </c>
      <c r="H84" s="16" t="n">
        <f aca="false">$C84</f>
        <v>0.3</v>
      </c>
      <c r="I84" s="16" t="n">
        <f aca="false">$C84</f>
        <v>0.3</v>
      </c>
      <c r="J84" s="16" t="n">
        <f aca="false">$C84</f>
        <v>0.3</v>
      </c>
      <c r="K84" s="16" t="n">
        <f aca="false">$C84</f>
        <v>0.3</v>
      </c>
      <c r="L84" s="16" t="n">
        <f aca="false">$C84</f>
        <v>0.3</v>
      </c>
      <c r="M84" s="16" t="n">
        <f aca="false">$C84</f>
        <v>0.3</v>
      </c>
      <c r="N84" s="16" t="n">
        <f aca="false">$C84</f>
        <v>0.3</v>
      </c>
      <c r="O84" s="16" t="n">
        <f aca="false">$C84</f>
        <v>0.3</v>
      </c>
      <c r="P84" s="16" t="n">
        <f aca="false">$C84</f>
        <v>0.3</v>
      </c>
      <c r="Q84" s="16" t="n">
        <f aca="false">$C84</f>
        <v>0.3</v>
      </c>
      <c r="R84" s="16" t="n">
        <f aca="false">$C84</f>
        <v>0.3</v>
      </c>
      <c r="S84" s="16" t="n">
        <f aca="false">$C84</f>
        <v>0.3</v>
      </c>
      <c r="T84" s="16" t="n">
        <f aca="false">$C84</f>
        <v>0.3</v>
      </c>
      <c r="U84" s="16" t="n">
        <f aca="false">$C84</f>
        <v>0.3</v>
      </c>
    </row>
    <row r="85" customFormat="false" ht="15" hidden="false" customHeight="true" outlineLevel="0" collapsed="false">
      <c r="A85" s="13" t="s">
        <v>470</v>
      </c>
      <c r="B85" s="49" t="n">
        <v>0.15</v>
      </c>
      <c r="C85" s="49" t="n">
        <v>0.2</v>
      </c>
      <c r="D85" s="49" t="n">
        <v>0.3</v>
      </c>
      <c r="G85" s="16" t="n">
        <f aca="false">$C85</f>
        <v>0.2</v>
      </c>
      <c r="H85" s="16" t="n">
        <f aca="false">$C85</f>
        <v>0.2</v>
      </c>
      <c r="I85" s="16" t="n">
        <f aca="false">$C85</f>
        <v>0.2</v>
      </c>
      <c r="J85" s="16" t="n">
        <f aca="false">$C85</f>
        <v>0.2</v>
      </c>
      <c r="K85" s="16" t="n">
        <f aca="false">$C85</f>
        <v>0.2</v>
      </c>
      <c r="L85" s="16" t="n">
        <f aca="false">$C85</f>
        <v>0.2</v>
      </c>
      <c r="M85" s="16" t="n">
        <f aca="false">$C85</f>
        <v>0.2</v>
      </c>
      <c r="N85" s="16" t="n">
        <f aca="false">$C85</f>
        <v>0.2</v>
      </c>
      <c r="O85" s="16" t="n">
        <f aca="false">$C85</f>
        <v>0.2</v>
      </c>
      <c r="P85" s="16" t="n">
        <f aca="false">$C85</f>
        <v>0.2</v>
      </c>
      <c r="Q85" s="16" t="n">
        <f aca="false">$C85</f>
        <v>0.2</v>
      </c>
      <c r="R85" s="16" t="n">
        <f aca="false">$C85</f>
        <v>0.2</v>
      </c>
      <c r="S85" s="16" t="n">
        <f aca="false">$C85</f>
        <v>0.2</v>
      </c>
      <c r="T85" s="16" t="n">
        <f aca="false">$C85</f>
        <v>0.2</v>
      </c>
      <c r="U85" s="16" t="n">
        <f aca="false">$C85</f>
        <v>0.2</v>
      </c>
    </row>
    <row r="86" customFormat="false" ht="15" hidden="false" customHeight="true" outlineLevel="0" collapsed="false">
      <c r="A86" s="13" t="s">
        <v>471</v>
      </c>
      <c r="B86" s="49" t="n">
        <v>0.16</v>
      </c>
      <c r="C86" s="49" t="n">
        <v>0.14</v>
      </c>
      <c r="D86" s="49" t="n">
        <v>0.13</v>
      </c>
      <c r="E86" s="6" t="s">
        <v>472</v>
      </c>
      <c r="G86" s="16" t="n">
        <f aca="false">$C86</f>
        <v>0.14</v>
      </c>
      <c r="H86" s="16" t="n">
        <f aca="false">$C86</f>
        <v>0.14</v>
      </c>
      <c r="I86" s="16" t="n">
        <f aca="false">$C86</f>
        <v>0.14</v>
      </c>
      <c r="J86" s="16" t="n">
        <f aca="false">$C86</f>
        <v>0.14</v>
      </c>
      <c r="K86" s="16" t="n">
        <f aca="false">$C86</f>
        <v>0.14</v>
      </c>
      <c r="L86" s="16" t="n">
        <f aca="false">$C86</f>
        <v>0.14</v>
      </c>
      <c r="M86" s="16" t="n">
        <f aca="false">$C86</f>
        <v>0.14</v>
      </c>
      <c r="N86" s="16" t="n">
        <f aca="false">$C86</f>
        <v>0.14</v>
      </c>
      <c r="O86" s="16" t="n">
        <f aca="false">$C86</f>
        <v>0.14</v>
      </c>
      <c r="P86" s="16" t="n">
        <f aca="false">$C86</f>
        <v>0.14</v>
      </c>
      <c r="Q86" s="16" t="n">
        <f aca="false">$C86</f>
        <v>0.14</v>
      </c>
      <c r="R86" s="16" t="n">
        <f aca="false">$C86</f>
        <v>0.14</v>
      </c>
      <c r="S86" s="16" t="n">
        <f aca="false">$C86</f>
        <v>0.14</v>
      </c>
      <c r="T86" s="16" t="n">
        <f aca="false">$C86</f>
        <v>0.14</v>
      </c>
      <c r="U86" s="16" t="n">
        <f aca="false">$C86</f>
        <v>0.14</v>
      </c>
    </row>
    <row r="87" customFormat="false" ht="15" hidden="false" customHeight="true" outlineLevel="0" collapsed="false">
      <c r="A87" s="13" t="s">
        <v>473</v>
      </c>
      <c r="B87" s="49" t="n">
        <v>0.15</v>
      </c>
      <c r="C87" s="49" t="n">
        <v>0.13</v>
      </c>
      <c r="D87" s="49" t="n">
        <v>0.12</v>
      </c>
      <c r="G87" s="16" t="n">
        <f aca="false">$C87</f>
        <v>0.13</v>
      </c>
      <c r="H87" s="16" t="n">
        <f aca="false">$C87</f>
        <v>0.13</v>
      </c>
      <c r="I87" s="16" t="n">
        <f aca="false">$C87</f>
        <v>0.13</v>
      </c>
      <c r="J87" s="16" t="n">
        <f aca="false">$C87</f>
        <v>0.13</v>
      </c>
      <c r="K87" s="16" t="n">
        <f aca="false">$C87</f>
        <v>0.13</v>
      </c>
      <c r="L87" s="16" t="n">
        <f aca="false">$C87</f>
        <v>0.13</v>
      </c>
      <c r="M87" s="16" t="n">
        <f aca="false">$C87</f>
        <v>0.13</v>
      </c>
      <c r="N87" s="16" t="n">
        <f aca="false">$C87</f>
        <v>0.13</v>
      </c>
      <c r="O87" s="16" t="n">
        <f aca="false">$C87</f>
        <v>0.13</v>
      </c>
      <c r="P87" s="16" t="n">
        <f aca="false">$C87</f>
        <v>0.13</v>
      </c>
      <c r="Q87" s="16" t="n">
        <f aca="false">$C87</f>
        <v>0.13</v>
      </c>
      <c r="R87" s="16" t="n">
        <f aca="false">$C87</f>
        <v>0.13</v>
      </c>
      <c r="S87" s="16" t="n">
        <f aca="false">$C87</f>
        <v>0.13</v>
      </c>
      <c r="T87" s="16" t="n">
        <f aca="false">$C87</f>
        <v>0.13</v>
      </c>
      <c r="U87" s="16" t="n">
        <f aca="false">$C87</f>
        <v>0.13</v>
      </c>
    </row>
    <row r="88" customFormat="false" ht="15" hidden="false" customHeight="true" outlineLevel="0" collapsed="false">
      <c r="A88" s="13" t="s">
        <v>474</v>
      </c>
      <c r="B88" s="49" t="n">
        <v>0.14</v>
      </c>
      <c r="C88" s="49" t="n">
        <v>0.12</v>
      </c>
      <c r="D88" s="49" t="n">
        <v>0.11</v>
      </c>
      <c r="G88" s="16" t="n">
        <f aca="false">$C88</f>
        <v>0.12</v>
      </c>
      <c r="H88" s="16" t="n">
        <f aca="false">$C88</f>
        <v>0.12</v>
      </c>
      <c r="I88" s="16" t="n">
        <f aca="false">$C88</f>
        <v>0.12</v>
      </c>
      <c r="J88" s="16" t="n">
        <f aca="false">$C88</f>
        <v>0.12</v>
      </c>
      <c r="K88" s="16" t="n">
        <f aca="false">$C88</f>
        <v>0.12</v>
      </c>
      <c r="L88" s="16" t="n">
        <f aca="false">$C88</f>
        <v>0.12</v>
      </c>
      <c r="M88" s="16" t="n">
        <f aca="false">$C88</f>
        <v>0.12</v>
      </c>
      <c r="N88" s="16" t="n">
        <f aca="false">$C88</f>
        <v>0.12</v>
      </c>
      <c r="O88" s="16" t="n">
        <f aca="false">$C88</f>
        <v>0.12</v>
      </c>
      <c r="P88" s="16" t="n">
        <f aca="false">$C88</f>
        <v>0.12</v>
      </c>
      <c r="Q88" s="16" t="n">
        <f aca="false">$C88</f>
        <v>0.12</v>
      </c>
      <c r="R88" s="16" t="n">
        <f aca="false">$C88</f>
        <v>0.12</v>
      </c>
      <c r="S88" s="16" t="n">
        <f aca="false">$C88</f>
        <v>0.12</v>
      </c>
      <c r="T88" s="16" t="n">
        <f aca="false">$C88</f>
        <v>0.12</v>
      </c>
      <c r="U88" s="16" t="n">
        <f aca="false">$C88</f>
        <v>0.12</v>
      </c>
    </row>
    <row r="89" customFormat="false" ht="15" hidden="false" customHeight="true" outlineLevel="0" collapsed="false">
      <c r="A89" s="13" t="s">
        <v>475</v>
      </c>
      <c r="B89" s="49" t="n">
        <v>0.13</v>
      </c>
      <c r="C89" s="49" t="n">
        <v>0.11</v>
      </c>
      <c r="D89" s="49" t="n">
        <v>0.1</v>
      </c>
      <c r="G89" s="16" t="n">
        <f aca="false">$C89</f>
        <v>0.11</v>
      </c>
      <c r="H89" s="16" t="n">
        <f aca="false">$C89</f>
        <v>0.11</v>
      </c>
      <c r="I89" s="16" t="n">
        <f aca="false">$C89</f>
        <v>0.11</v>
      </c>
      <c r="J89" s="16" t="n">
        <f aca="false">$C89</f>
        <v>0.11</v>
      </c>
      <c r="K89" s="16" t="n">
        <f aca="false">$C89</f>
        <v>0.11</v>
      </c>
      <c r="L89" s="16" t="n">
        <f aca="false">$C89</f>
        <v>0.11</v>
      </c>
      <c r="M89" s="16" t="n">
        <f aca="false">$C89</f>
        <v>0.11</v>
      </c>
      <c r="N89" s="16" t="n">
        <f aca="false">$C89</f>
        <v>0.11</v>
      </c>
      <c r="O89" s="16" t="n">
        <f aca="false">$C89</f>
        <v>0.11</v>
      </c>
      <c r="P89" s="16" t="n">
        <f aca="false">$C89</f>
        <v>0.11</v>
      </c>
      <c r="Q89" s="16" t="n">
        <f aca="false">$C89</f>
        <v>0.11</v>
      </c>
      <c r="R89" s="16" t="n">
        <f aca="false">$C89</f>
        <v>0.11</v>
      </c>
      <c r="S89" s="16" t="n">
        <f aca="false">$C89</f>
        <v>0.11</v>
      </c>
      <c r="T89" s="16" t="n">
        <f aca="false">$C89</f>
        <v>0.11</v>
      </c>
      <c r="U89" s="16" t="n">
        <f aca="false">$C89</f>
        <v>0.11</v>
      </c>
    </row>
    <row r="90" customFormat="false" ht="15" hidden="false" customHeight="true" outlineLevel="0" collapsed="false">
      <c r="A90" s="13" t="s">
        <v>476</v>
      </c>
      <c r="B90" s="49" t="n">
        <v>0.1</v>
      </c>
      <c r="C90" s="49" t="n">
        <v>0.09</v>
      </c>
      <c r="D90" s="49" t="n">
        <v>0.08</v>
      </c>
      <c r="E90" s="6" t="s">
        <v>477</v>
      </c>
      <c r="G90" s="16" t="n">
        <f aca="false">$C90</f>
        <v>0.09</v>
      </c>
      <c r="H90" s="16" t="n">
        <f aca="false">$C90</f>
        <v>0.09</v>
      </c>
      <c r="I90" s="16" t="n">
        <f aca="false">$C90</f>
        <v>0.09</v>
      </c>
      <c r="J90" s="16" t="n">
        <f aca="false">$C90</f>
        <v>0.09</v>
      </c>
      <c r="K90" s="16" t="n">
        <f aca="false">$C90</f>
        <v>0.09</v>
      </c>
      <c r="L90" s="16" t="n">
        <f aca="false">$C90</f>
        <v>0.09</v>
      </c>
      <c r="M90" s="16" t="n">
        <f aca="false">$C90</f>
        <v>0.09</v>
      </c>
      <c r="N90" s="16" t="n">
        <f aca="false">$C90</f>
        <v>0.09</v>
      </c>
      <c r="O90" s="16" t="n">
        <f aca="false">$C90</f>
        <v>0.09</v>
      </c>
      <c r="P90" s="16" t="n">
        <f aca="false">$C90</f>
        <v>0.09</v>
      </c>
      <c r="Q90" s="16" t="n">
        <f aca="false">$C90</f>
        <v>0.09</v>
      </c>
      <c r="R90" s="16" t="n">
        <f aca="false">$C90</f>
        <v>0.09</v>
      </c>
      <c r="S90" s="16" t="n">
        <f aca="false">$C90</f>
        <v>0.09</v>
      </c>
      <c r="T90" s="16" t="n">
        <f aca="false">$C90</f>
        <v>0.09</v>
      </c>
      <c r="U90" s="16" t="n">
        <f aca="false">$C90</f>
        <v>0.09</v>
      </c>
    </row>
    <row r="91" customFormat="false" ht="15" hidden="false" customHeight="true" outlineLevel="0" collapsed="false">
      <c r="A91" s="13" t="s">
        <v>478</v>
      </c>
      <c r="B91" s="49" t="n">
        <v>0.09</v>
      </c>
      <c r="C91" s="49" t="n">
        <v>0.08</v>
      </c>
      <c r="D91" s="49" t="n">
        <v>0.07</v>
      </c>
      <c r="G91" s="16" t="n">
        <f aca="false">$C91</f>
        <v>0.08</v>
      </c>
      <c r="H91" s="16" t="n">
        <f aca="false">$C91</f>
        <v>0.08</v>
      </c>
      <c r="I91" s="16" t="n">
        <f aca="false">$C91</f>
        <v>0.08</v>
      </c>
      <c r="J91" s="16" t="n">
        <f aca="false">$C91</f>
        <v>0.08</v>
      </c>
      <c r="K91" s="16" t="n">
        <f aca="false">$C91</f>
        <v>0.08</v>
      </c>
      <c r="L91" s="16" t="n">
        <f aca="false">$C91</f>
        <v>0.08</v>
      </c>
      <c r="M91" s="16" t="n">
        <f aca="false">$C91</f>
        <v>0.08</v>
      </c>
      <c r="N91" s="16" t="n">
        <f aca="false">$C91</f>
        <v>0.08</v>
      </c>
      <c r="O91" s="16" t="n">
        <f aca="false">$C91</f>
        <v>0.08</v>
      </c>
      <c r="P91" s="16" t="n">
        <f aca="false">$C91</f>
        <v>0.08</v>
      </c>
      <c r="Q91" s="16" t="n">
        <f aca="false">$C91</f>
        <v>0.08</v>
      </c>
      <c r="R91" s="16" t="n">
        <f aca="false">$C91</f>
        <v>0.08</v>
      </c>
      <c r="S91" s="16" t="n">
        <f aca="false">$C91</f>
        <v>0.08</v>
      </c>
      <c r="T91" s="16" t="n">
        <f aca="false">$C91</f>
        <v>0.08</v>
      </c>
      <c r="U91" s="16" t="n">
        <f aca="false">$C91</f>
        <v>0.08</v>
      </c>
    </row>
    <row r="92" customFormat="false" ht="15" hidden="false" customHeight="true" outlineLevel="0" collapsed="false">
      <c r="A92" s="13" t="s">
        <v>479</v>
      </c>
      <c r="B92" s="49" t="n">
        <v>0.08</v>
      </c>
      <c r="C92" s="49" t="n">
        <v>0.07</v>
      </c>
      <c r="D92" s="49" t="n">
        <v>0.06</v>
      </c>
      <c r="G92" s="16" t="n">
        <f aca="false">$C92</f>
        <v>0.07</v>
      </c>
      <c r="H92" s="16" t="n">
        <f aca="false">$C92</f>
        <v>0.07</v>
      </c>
      <c r="I92" s="16" t="n">
        <f aca="false">$C92</f>
        <v>0.07</v>
      </c>
      <c r="J92" s="16" t="n">
        <f aca="false">$C92</f>
        <v>0.07</v>
      </c>
      <c r="K92" s="16" t="n">
        <f aca="false">$C92</f>
        <v>0.07</v>
      </c>
      <c r="L92" s="16" t="n">
        <f aca="false">$C92</f>
        <v>0.07</v>
      </c>
      <c r="M92" s="16" t="n">
        <f aca="false">$C92</f>
        <v>0.07</v>
      </c>
      <c r="N92" s="16" t="n">
        <f aca="false">$C92</f>
        <v>0.07</v>
      </c>
      <c r="O92" s="16" t="n">
        <f aca="false">$C92</f>
        <v>0.07</v>
      </c>
      <c r="P92" s="16" t="n">
        <f aca="false">$C92</f>
        <v>0.07</v>
      </c>
      <c r="Q92" s="16" t="n">
        <f aca="false">$C92</f>
        <v>0.07</v>
      </c>
      <c r="R92" s="16" t="n">
        <f aca="false">$C92</f>
        <v>0.07</v>
      </c>
      <c r="S92" s="16" t="n">
        <f aca="false">$C92</f>
        <v>0.07</v>
      </c>
      <c r="T92" s="16" t="n">
        <f aca="false">$C92</f>
        <v>0.07</v>
      </c>
      <c r="U92" s="16" t="n">
        <f aca="false">$C92</f>
        <v>0.07</v>
      </c>
    </row>
    <row r="93" customFormat="false" ht="15" hidden="false" customHeight="true" outlineLevel="0" collapsed="false">
      <c r="A93" s="13" t="s">
        <v>480</v>
      </c>
      <c r="B93" s="49" t="n">
        <v>0.07</v>
      </c>
      <c r="C93" s="49" t="n">
        <v>0.06</v>
      </c>
      <c r="D93" s="49" t="n">
        <v>0.05</v>
      </c>
      <c r="G93" s="16" t="n">
        <f aca="false">$C93</f>
        <v>0.06</v>
      </c>
      <c r="H93" s="16" t="n">
        <f aca="false">$C93</f>
        <v>0.06</v>
      </c>
      <c r="I93" s="16" t="n">
        <f aca="false">$C93</f>
        <v>0.06</v>
      </c>
      <c r="J93" s="16" t="n">
        <f aca="false">$C93</f>
        <v>0.06</v>
      </c>
      <c r="K93" s="16" t="n">
        <f aca="false">$C93</f>
        <v>0.06</v>
      </c>
      <c r="L93" s="16" t="n">
        <f aca="false">$C93</f>
        <v>0.06</v>
      </c>
      <c r="M93" s="16" t="n">
        <f aca="false">$C93</f>
        <v>0.06</v>
      </c>
      <c r="N93" s="16" t="n">
        <f aca="false">$C93</f>
        <v>0.06</v>
      </c>
      <c r="O93" s="16" t="n">
        <f aca="false">$C93</f>
        <v>0.06</v>
      </c>
      <c r="P93" s="16" t="n">
        <f aca="false">$C93</f>
        <v>0.06</v>
      </c>
      <c r="Q93" s="16" t="n">
        <f aca="false">$C93</f>
        <v>0.06</v>
      </c>
      <c r="R93" s="16" t="n">
        <f aca="false">$C93</f>
        <v>0.06</v>
      </c>
      <c r="S93" s="16" t="n">
        <f aca="false">$C93</f>
        <v>0.06</v>
      </c>
      <c r="T93" s="16" t="n">
        <f aca="false">$C93</f>
        <v>0.06</v>
      </c>
      <c r="U93" s="16" t="n">
        <f aca="false">$C93</f>
        <v>0.06</v>
      </c>
    </row>
    <row r="94" customFormat="false" ht="15" hidden="false" customHeight="true" outlineLevel="0" collapsed="false">
      <c r="A94" s="13" t="s">
        <v>481</v>
      </c>
      <c r="B94" s="49" t="n">
        <v>0.18</v>
      </c>
      <c r="C94" s="49" t="n">
        <v>0.17</v>
      </c>
      <c r="D94" s="49" t="n">
        <v>0.16</v>
      </c>
      <c r="E94" s="6" t="s">
        <v>482</v>
      </c>
      <c r="G94" s="16" t="n">
        <f aca="false">$C94</f>
        <v>0.17</v>
      </c>
      <c r="H94" s="16" t="n">
        <f aca="false">$C94</f>
        <v>0.17</v>
      </c>
      <c r="I94" s="16" t="n">
        <f aca="false">$C94</f>
        <v>0.17</v>
      </c>
      <c r="J94" s="16" t="n">
        <f aca="false">$C94</f>
        <v>0.17</v>
      </c>
      <c r="K94" s="16" t="n">
        <f aca="false">$C94</f>
        <v>0.17</v>
      </c>
      <c r="L94" s="16" t="n">
        <f aca="false">$C94</f>
        <v>0.17</v>
      </c>
      <c r="M94" s="16" t="n">
        <f aca="false">$C94</f>
        <v>0.17</v>
      </c>
      <c r="N94" s="16" t="n">
        <f aca="false">$C94</f>
        <v>0.17</v>
      </c>
      <c r="O94" s="16" t="n">
        <f aca="false">$C94</f>
        <v>0.17</v>
      </c>
      <c r="P94" s="16" t="n">
        <f aca="false">$C94</f>
        <v>0.17</v>
      </c>
      <c r="Q94" s="16" t="n">
        <f aca="false">$C94</f>
        <v>0.17</v>
      </c>
      <c r="R94" s="16" t="n">
        <f aca="false">$C94</f>
        <v>0.17</v>
      </c>
      <c r="S94" s="16" t="n">
        <f aca="false">$C94</f>
        <v>0.17</v>
      </c>
      <c r="T94" s="16" t="n">
        <f aca="false">$C94</f>
        <v>0.17</v>
      </c>
      <c r="U94" s="16" t="n">
        <f aca="false">$C94</f>
        <v>0.17</v>
      </c>
    </row>
    <row r="95" customFormat="false" ht="15" hidden="false" customHeight="true" outlineLevel="0" collapsed="false">
      <c r="A95" s="13" t="s">
        <v>483</v>
      </c>
      <c r="B95" s="49" t="n">
        <v>0.17</v>
      </c>
      <c r="C95" s="49" t="n">
        <v>0.16</v>
      </c>
      <c r="D95" s="49" t="n">
        <v>0.15</v>
      </c>
      <c r="G95" s="16" t="n">
        <f aca="false">$C95</f>
        <v>0.16</v>
      </c>
      <c r="H95" s="16" t="n">
        <f aca="false">$C95</f>
        <v>0.16</v>
      </c>
      <c r="I95" s="16" t="n">
        <f aca="false">$C95</f>
        <v>0.16</v>
      </c>
      <c r="J95" s="16" t="n">
        <f aca="false">$C95</f>
        <v>0.16</v>
      </c>
      <c r="K95" s="16" t="n">
        <f aca="false">$C95</f>
        <v>0.16</v>
      </c>
      <c r="L95" s="16" t="n">
        <f aca="false">$C95</f>
        <v>0.16</v>
      </c>
      <c r="M95" s="16" t="n">
        <f aca="false">$C95</f>
        <v>0.16</v>
      </c>
      <c r="N95" s="16" t="n">
        <f aca="false">$C95</f>
        <v>0.16</v>
      </c>
      <c r="O95" s="16" t="n">
        <f aca="false">$C95</f>
        <v>0.16</v>
      </c>
      <c r="P95" s="16" t="n">
        <f aca="false">$C95</f>
        <v>0.16</v>
      </c>
      <c r="Q95" s="16" t="n">
        <f aca="false">$C95</f>
        <v>0.16</v>
      </c>
      <c r="R95" s="16" t="n">
        <f aca="false">$C95</f>
        <v>0.16</v>
      </c>
      <c r="S95" s="16" t="n">
        <f aca="false">$C95</f>
        <v>0.16</v>
      </c>
      <c r="T95" s="16" t="n">
        <f aca="false">$C95</f>
        <v>0.16</v>
      </c>
      <c r="U95" s="16" t="n">
        <f aca="false">$C95</f>
        <v>0.16</v>
      </c>
    </row>
    <row r="96" customFormat="false" ht="15" hidden="false" customHeight="true" outlineLevel="0" collapsed="false">
      <c r="A96" s="13" t="s">
        <v>484</v>
      </c>
      <c r="B96" s="49" t="n">
        <v>0.16</v>
      </c>
      <c r="C96" s="49" t="n">
        <v>0.15</v>
      </c>
      <c r="D96" s="49" t="n">
        <v>0.14</v>
      </c>
      <c r="G96" s="16" t="n">
        <f aca="false">$C96</f>
        <v>0.15</v>
      </c>
      <c r="H96" s="16" t="n">
        <f aca="false">$C96</f>
        <v>0.15</v>
      </c>
      <c r="I96" s="16" t="n">
        <f aca="false">$C96</f>
        <v>0.15</v>
      </c>
      <c r="J96" s="16" t="n">
        <f aca="false">$C96</f>
        <v>0.15</v>
      </c>
      <c r="K96" s="16" t="n">
        <f aca="false">$C96</f>
        <v>0.15</v>
      </c>
      <c r="L96" s="16" t="n">
        <f aca="false">$C96</f>
        <v>0.15</v>
      </c>
      <c r="M96" s="16" t="n">
        <f aca="false">$C96</f>
        <v>0.15</v>
      </c>
      <c r="N96" s="16" t="n">
        <f aca="false">$C96</f>
        <v>0.15</v>
      </c>
      <c r="O96" s="16" t="n">
        <f aca="false">$C96</f>
        <v>0.15</v>
      </c>
      <c r="P96" s="16" t="n">
        <f aca="false">$C96</f>
        <v>0.15</v>
      </c>
      <c r="Q96" s="16" t="n">
        <f aca="false">$C96</f>
        <v>0.15</v>
      </c>
      <c r="R96" s="16" t="n">
        <f aca="false">$C96</f>
        <v>0.15</v>
      </c>
      <c r="S96" s="16" t="n">
        <f aca="false">$C96</f>
        <v>0.15</v>
      </c>
      <c r="T96" s="16" t="n">
        <f aca="false">$C96</f>
        <v>0.15</v>
      </c>
      <c r="U96" s="16" t="n">
        <f aca="false">$C96</f>
        <v>0.15</v>
      </c>
    </row>
    <row r="97" customFormat="false" ht="15" hidden="false" customHeight="true" outlineLevel="0" collapsed="false">
      <c r="A97" s="13" t="s">
        <v>485</v>
      </c>
      <c r="B97" s="49" t="n">
        <v>0.16</v>
      </c>
      <c r="C97" s="49" t="n">
        <v>0.15</v>
      </c>
      <c r="D97" s="49" t="n">
        <v>0.13</v>
      </c>
      <c r="G97" s="16" t="n">
        <f aca="false">$C97</f>
        <v>0.15</v>
      </c>
      <c r="H97" s="16" t="n">
        <f aca="false">$C97</f>
        <v>0.15</v>
      </c>
      <c r="I97" s="16" t="n">
        <f aca="false">$C97</f>
        <v>0.15</v>
      </c>
      <c r="J97" s="16" t="n">
        <f aca="false">$C97</f>
        <v>0.15</v>
      </c>
      <c r="K97" s="16" t="n">
        <f aca="false">$C97</f>
        <v>0.15</v>
      </c>
      <c r="L97" s="16" t="n">
        <f aca="false">$C97</f>
        <v>0.15</v>
      </c>
      <c r="M97" s="16" t="n">
        <f aca="false">$C97</f>
        <v>0.15</v>
      </c>
      <c r="N97" s="16" t="n">
        <f aca="false">$C97</f>
        <v>0.15</v>
      </c>
      <c r="O97" s="16" t="n">
        <f aca="false">$C97</f>
        <v>0.15</v>
      </c>
      <c r="P97" s="16" t="n">
        <f aca="false">$C97</f>
        <v>0.15</v>
      </c>
      <c r="Q97" s="16" t="n">
        <f aca="false">$C97</f>
        <v>0.15</v>
      </c>
      <c r="R97" s="16" t="n">
        <f aca="false">$C97</f>
        <v>0.15</v>
      </c>
      <c r="S97" s="16" t="n">
        <f aca="false">$C97</f>
        <v>0.15</v>
      </c>
      <c r="T97" s="16" t="n">
        <f aca="false">$C97</f>
        <v>0.15</v>
      </c>
      <c r="U97" s="16" t="n">
        <f aca="false">$C97</f>
        <v>0.15</v>
      </c>
    </row>
    <row r="98" customFormat="false" ht="15" hidden="false" customHeight="true" outlineLevel="0" collapsed="false">
      <c r="A98" s="13" t="s">
        <v>486</v>
      </c>
      <c r="B98" s="49" t="n">
        <v>0.09</v>
      </c>
      <c r="C98" s="49" t="n">
        <v>0.08</v>
      </c>
      <c r="D98" s="49" t="n">
        <v>0.07</v>
      </c>
      <c r="E98" s="6" t="s">
        <v>487</v>
      </c>
      <c r="G98" s="16" t="n">
        <f aca="false">$C98</f>
        <v>0.08</v>
      </c>
      <c r="H98" s="16" t="n">
        <f aca="false">$C98</f>
        <v>0.08</v>
      </c>
      <c r="I98" s="16" t="n">
        <f aca="false">$C98</f>
        <v>0.08</v>
      </c>
      <c r="J98" s="16" t="n">
        <f aca="false">$C98</f>
        <v>0.08</v>
      </c>
      <c r="K98" s="16" t="n">
        <f aca="false">$C98</f>
        <v>0.08</v>
      </c>
      <c r="L98" s="16" t="n">
        <f aca="false">$C98</f>
        <v>0.08</v>
      </c>
      <c r="M98" s="16" t="n">
        <f aca="false">$C98</f>
        <v>0.08</v>
      </c>
      <c r="N98" s="16" t="n">
        <f aca="false">$C98</f>
        <v>0.08</v>
      </c>
      <c r="O98" s="16" t="n">
        <f aca="false">$C98</f>
        <v>0.08</v>
      </c>
      <c r="P98" s="16" t="n">
        <f aca="false">$C98</f>
        <v>0.08</v>
      </c>
      <c r="Q98" s="16" t="n">
        <f aca="false">$C98</f>
        <v>0.08</v>
      </c>
      <c r="R98" s="16" t="n">
        <f aca="false">$C98</f>
        <v>0.08</v>
      </c>
      <c r="S98" s="16" t="n">
        <f aca="false">$C98</f>
        <v>0.08</v>
      </c>
      <c r="T98" s="16" t="n">
        <f aca="false">$C98</f>
        <v>0.08</v>
      </c>
      <c r="U98" s="16" t="n">
        <f aca="false">$C98</f>
        <v>0.08</v>
      </c>
    </row>
    <row r="99" customFormat="false" ht="15" hidden="false" customHeight="true" outlineLevel="0" collapsed="false">
      <c r="A99" s="13" t="s">
        <v>488</v>
      </c>
      <c r="B99" s="49" t="n">
        <v>0.08</v>
      </c>
      <c r="C99" s="49" t="n">
        <v>0.07</v>
      </c>
      <c r="D99" s="49" t="n">
        <v>0.06</v>
      </c>
      <c r="G99" s="16" t="n">
        <f aca="false">$C99</f>
        <v>0.07</v>
      </c>
      <c r="H99" s="16" t="n">
        <f aca="false">$C99</f>
        <v>0.07</v>
      </c>
      <c r="I99" s="16" t="n">
        <f aca="false">$C99</f>
        <v>0.07</v>
      </c>
      <c r="J99" s="16" t="n">
        <f aca="false">$C99</f>
        <v>0.07</v>
      </c>
      <c r="K99" s="16" t="n">
        <f aca="false">$C99</f>
        <v>0.07</v>
      </c>
      <c r="L99" s="16" t="n">
        <f aca="false">$C99</f>
        <v>0.07</v>
      </c>
      <c r="M99" s="16" t="n">
        <f aca="false">$C99</f>
        <v>0.07</v>
      </c>
      <c r="N99" s="16" t="n">
        <f aca="false">$C99</f>
        <v>0.07</v>
      </c>
      <c r="O99" s="16" t="n">
        <f aca="false">$C99</f>
        <v>0.07</v>
      </c>
      <c r="P99" s="16" t="n">
        <f aca="false">$C99</f>
        <v>0.07</v>
      </c>
      <c r="Q99" s="16" t="n">
        <f aca="false">$C99</f>
        <v>0.07</v>
      </c>
      <c r="R99" s="16" t="n">
        <f aca="false">$C99</f>
        <v>0.07</v>
      </c>
      <c r="S99" s="16" t="n">
        <f aca="false">$C99</f>
        <v>0.07</v>
      </c>
      <c r="T99" s="16" t="n">
        <f aca="false">$C99</f>
        <v>0.07</v>
      </c>
      <c r="U99" s="16" t="n">
        <f aca="false">$C99</f>
        <v>0.07</v>
      </c>
    </row>
    <row r="100" customFormat="false" ht="15" hidden="false" customHeight="true" outlineLevel="0" collapsed="false">
      <c r="A100" s="13" t="s">
        <v>489</v>
      </c>
      <c r="B100" s="49" t="n">
        <v>0.07</v>
      </c>
      <c r="C100" s="49" t="n">
        <v>0.06</v>
      </c>
      <c r="D100" s="49" t="n">
        <v>0.05</v>
      </c>
      <c r="G100" s="16" t="n">
        <f aca="false">$C100</f>
        <v>0.06</v>
      </c>
      <c r="H100" s="16" t="n">
        <f aca="false">$C100</f>
        <v>0.06</v>
      </c>
      <c r="I100" s="16" t="n">
        <f aca="false">$C100</f>
        <v>0.06</v>
      </c>
      <c r="J100" s="16" t="n">
        <f aca="false">$C100</f>
        <v>0.06</v>
      </c>
      <c r="K100" s="16" t="n">
        <f aca="false">$C100</f>
        <v>0.06</v>
      </c>
      <c r="L100" s="16" t="n">
        <f aca="false">$C100</f>
        <v>0.06</v>
      </c>
      <c r="M100" s="16" t="n">
        <f aca="false">$C100</f>
        <v>0.06</v>
      </c>
      <c r="N100" s="16" t="n">
        <f aca="false">$C100</f>
        <v>0.06</v>
      </c>
      <c r="O100" s="16" t="n">
        <f aca="false">$C100</f>
        <v>0.06</v>
      </c>
      <c r="P100" s="16" t="n">
        <f aca="false">$C100</f>
        <v>0.06</v>
      </c>
      <c r="Q100" s="16" t="n">
        <f aca="false">$C100</f>
        <v>0.06</v>
      </c>
      <c r="R100" s="16" t="n">
        <f aca="false">$C100</f>
        <v>0.06</v>
      </c>
      <c r="S100" s="16" t="n">
        <f aca="false">$C100</f>
        <v>0.06</v>
      </c>
      <c r="T100" s="16" t="n">
        <f aca="false">$C100</f>
        <v>0.06</v>
      </c>
      <c r="U100" s="16" t="n">
        <f aca="false">$C100</f>
        <v>0.06</v>
      </c>
    </row>
    <row r="101" customFormat="false" ht="15" hidden="false" customHeight="true" outlineLevel="0" collapsed="false">
      <c r="A101" s="13" t="s">
        <v>490</v>
      </c>
      <c r="B101" s="49" t="n">
        <v>0.07</v>
      </c>
      <c r="C101" s="49" t="n">
        <v>0.06</v>
      </c>
      <c r="D101" s="49" t="n">
        <v>0.05</v>
      </c>
      <c r="G101" s="16" t="n">
        <f aca="false">$C101</f>
        <v>0.06</v>
      </c>
      <c r="H101" s="16" t="n">
        <f aca="false">$C101</f>
        <v>0.06</v>
      </c>
      <c r="I101" s="16" t="n">
        <f aca="false">$C101</f>
        <v>0.06</v>
      </c>
      <c r="J101" s="16" t="n">
        <f aca="false">$C101</f>
        <v>0.06</v>
      </c>
      <c r="K101" s="16" t="n">
        <f aca="false">$C101</f>
        <v>0.06</v>
      </c>
      <c r="L101" s="16" t="n">
        <f aca="false">$C101</f>
        <v>0.06</v>
      </c>
      <c r="M101" s="16" t="n">
        <f aca="false">$C101</f>
        <v>0.06</v>
      </c>
      <c r="N101" s="16" t="n">
        <f aca="false">$C101</f>
        <v>0.06</v>
      </c>
      <c r="O101" s="16" t="n">
        <f aca="false">$C101</f>
        <v>0.06</v>
      </c>
      <c r="P101" s="16" t="n">
        <f aca="false">$C101</f>
        <v>0.06</v>
      </c>
      <c r="Q101" s="16" t="n">
        <f aca="false">$C101</f>
        <v>0.06</v>
      </c>
      <c r="R101" s="16" t="n">
        <f aca="false">$C101</f>
        <v>0.06</v>
      </c>
      <c r="S101" s="16" t="n">
        <f aca="false">$C101</f>
        <v>0.06</v>
      </c>
      <c r="T101" s="16" t="n">
        <f aca="false">$C101</f>
        <v>0.06</v>
      </c>
      <c r="U101" s="16" t="n">
        <f aca="false">$C101</f>
        <v>0.06</v>
      </c>
    </row>
    <row r="102" customFormat="false" ht="15" hidden="false" customHeight="true" outlineLevel="0" collapsed="false">
      <c r="A102" s="13" t="s">
        <v>491</v>
      </c>
      <c r="B102" s="50" t="n">
        <v>20</v>
      </c>
      <c r="C102" s="50" t="n">
        <v>30</v>
      </c>
      <c r="D102" s="50" t="n">
        <v>35</v>
      </c>
      <c r="E102" s="6" t="s">
        <v>492</v>
      </c>
      <c r="G102" s="28" t="n">
        <f aca="false">$C102</f>
        <v>30</v>
      </c>
      <c r="H102" s="28" t="n">
        <f aca="false">$C102</f>
        <v>30</v>
      </c>
      <c r="I102" s="28" t="n">
        <f aca="false">$C102</f>
        <v>30</v>
      </c>
      <c r="J102" s="28" t="n">
        <f aca="false">$C102*0.75</f>
        <v>22.5</v>
      </c>
      <c r="K102" s="28" t="n">
        <f aca="false">$C102</f>
        <v>30</v>
      </c>
      <c r="L102" s="28" t="n">
        <f aca="false">$C102*0.75</f>
        <v>22.5</v>
      </c>
      <c r="M102" s="28" t="n">
        <f aca="false">$C102</f>
        <v>30</v>
      </c>
      <c r="N102" s="28" t="n">
        <f aca="false">$C102</f>
        <v>30</v>
      </c>
      <c r="O102" s="28" t="n">
        <f aca="false">$C102</f>
        <v>30</v>
      </c>
      <c r="P102" s="28" t="n">
        <f aca="false">$C102</f>
        <v>30</v>
      </c>
      <c r="Q102" s="28" t="n">
        <f aca="false">$C102</f>
        <v>30</v>
      </c>
      <c r="R102" s="28" t="n">
        <f aca="false">$C102</f>
        <v>30</v>
      </c>
      <c r="S102" s="28" t="n">
        <f aca="false">$C102</f>
        <v>30</v>
      </c>
      <c r="T102" s="28" t="n">
        <f aca="false">$C102</f>
        <v>30</v>
      </c>
      <c r="U102" s="28" t="n">
        <f aca="false">$C102</f>
        <v>30</v>
      </c>
    </row>
    <row r="103" customFormat="false" ht="15" hidden="false" customHeight="true" outlineLevel="0" collapsed="false">
      <c r="A103" s="13" t="s">
        <v>493</v>
      </c>
      <c r="B103" s="50" t="n">
        <v>18</v>
      </c>
      <c r="C103" s="50" t="n">
        <v>28</v>
      </c>
      <c r="D103" s="50" t="n">
        <v>32</v>
      </c>
      <c r="E103" s="6" t="s">
        <v>494</v>
      </c>
      <c r="G103" s="28" t="n">
        <f aca="false">$C103</f>
        <v>28</v>
      </c>
      <c r="H103" s="28" t="n">
        <f aca="false">$C103</f>
        <v>28</v>
      </c>
      <c r="I103" s="28" t="n">
        <f aca="false">$C103</f>
        <v>28</v>
      </c>
      <c r="J103" s="28" t="n">
        <f aca="false">$C103*0.75</f>
        <v>21</v>
      </c>
      <c r="K103" s="28" t="n">
        <f aca="false">$C103</f>
        <v>28</v>
      </c>
      <c r="L103" s="28" t="n">
        <f aca="false">$C103*0.75</f>
        <v>21</v>
      </c>
      <c r="M103" s="28" t="n">
        <f aca="false">$C103</f>
        <v>28</v>
      </c>
      <c r="N103" s="28" t="n">
        <f aca="false">$C103</f>
        <v>28</v>
      </c>
      <c r="O103" s="28" t="n">
        <f aca="false">$C103</f>
        <v>28</v>
      </c>
      <c r="P103" s="28" t="n">
        <f aca="false">$C103</f>
        <v>28</v>
      </c>
      <c r="Q103" s="28" t="n">
        <f aca="false">$C103</f>
        <v>28</v>
      </c>
      <c r="R103" s="28" t="n">
        <f aca="false">$C103</f>
        <v>28</v>
      </c>
      <c r="S103" s="28" t="n">
        <f aca="false">$C103</f>
        <v>28</v>
      </c>
      <c r="T103" s="28" t="n">
        <f aca="false">$C103</f>
        <v>28</v>
      </c>
      <c r="U103" s="28" t="n">
        <f aca="false">$C103</f>
        <v>28</v>
      </c>
    </row>
    <row r="104" customFormat="false" ht="15" hidden="false" customHeight="true" outlineLevel="0" collapsed="false">
      <c r="A104" s="13" t="s">
        <v>495</v>
      </c>
      <c r="B104" s="49" t="n">
        <v>0</v>
      </c>
      <c r="C104" s="49" t="n">
        <v>0</v>
      </c>
      <c r="D104" s="49" t="n">
        <v>0</v>
      </c>
      <c r="E104" s="6" t="s">
        <v>496</v>
      </c>
      <c r="G104" s="16" t="n">
        <f aca="false">$C104</f>
        <v>0</v>
      </c>
      <c r="H104" s="16" t="n">
        <f aca="false">$C104</f>
        <v>0</v>
      </c>
      <c r="I104" s="16" t="n">
        <f aca="false">$C104</f>
        <v>0</v>
      </c>
      <c r="J104" s="16" t="n">
        <f aca="false">$C104</f>
        <v>0</v>
      </c>
      <c r="K104" s="16" t="n">
        <f aca="false">0.02</f>
        <v>0.02</v>
      </c>
      <c r="L104" s="16" t="n">
        <f aca="false">0.02</f>
        <v>0.02</v>
      </c>
      <c r="M104" s="16" t="n">
        <f aca="false">$C104</f>
        <v>0</v>
      </c>
      <c r="N104" s="16" t="n">
        <f aca="false">$C104</f>
        <v>0</v>
      </c>
      <c r="O104" s="16" t="n">
        <f aca="false">$C104</f>
        <v>0</v>
      </c>
      <c r="P104" s="16" t="n">
        <f aca="false">$C104</f>
        <v>0</v>
      </c>
      <c r="Q104" s="16" t="n">
        <f aca="false">$C104</f>
        <v>0</v>
      </c>
      <c r="R104" s="16" t="n">
        <f aca="false">$C104</f>
        <v>0</v>
      </c>
      <c r="S104" s="16" t="n">
        <f aca="false">$C104</f>
        <v>0</v>
      </c>
      <c r="T104" s="16" t="n">
        <f aca="false">$C104</f>
        <v>0</v>
      </c>
      <c r="U104" s="16" t="n">
        <f aca="false">$C104</f>
        <v>0</v>
      </c>
    </row>
    <row r="105" customFormat="false" ht="15" hidden="false" customHeight="true" outlineLevel="0" collapsed="false">
      <c r="A105" s="13" t="s">
        <v>497</v>
      </c>
      <c r="B105" s="44" t="n">
        <v>1</v>
      </c>
      <c r="C105" s="44" t="n">
        <v>1</v>
      </c>
      <c r="D105" s="44" t="n">
        <v>1</v>
      </c>
      <c r="E105" s="6" t="s">
        <v>498</v>
      </c>
      <c r="G105" s="51" t="n">
        <f aca="false">$C105</f>
        <v>1</v>
      </c>
      <c r="H105" s="51" t="n">
        <f aca="false">$C105</f>
        <v>1</v>
      </c>
      <c r="I105" s="51" t="n">
        <f aca="false">$C105</f>
        <v>1</v>
      </c>
      <c r="J105" s="51" t="n">
        <f aca="false">$C105</f>
        <v>1</v>
      </c>
      <c r="K105" s="51" t="n">
        <f aca="false">$C105</f>
        <v>1</v>
      </c>
      <c r="L105" s="51" t="n">
        <f aca="false">$C105</f>
        <v>1</v>
      </c>
      <c r="M105" s="51" t="n">
        <f aca="false">2</f>
        <v>2</v>
      </c>
      <c r="N105" s="51" t="n">
        <f aca="false">2</f>
        <v>2</v>
      </c>
      <c r="O105" s="51" t="n">
        <f aca="false">2</f>
        <v>2</v>
      </c>
      <c r="P105" s="51" t="n">
        <f aca="false">$C105</f>
        <v>1</v>
      </c>
      <c r="Q105" s="51" t="n">
        <f aca="false">$C105</f>
        <v>1</v>
      </c>
      <c r="R105" s="51" t="n">
        <f aca="false">$C105</f>
        <v>1</v>
      </c>
      <c r="S105" s="51" t="n">
        <f aca="false">$C105</f>
        <v>1</v>
      </c>
      <c r="T105" s="51" t="n">
        <f aca="false">$C105</f>
        <v>1</v>
      </c>
      <c r="U105" s="51" t="n">
        <f aca="false">$C105</f>
        <v>1</v>
      </c>
    </row>
    <row r="106" customFormat="false" ht="15" hidden="false" customHeight="true" outlineLevel="0" collapsed="false">
      <c r="A106" s="13" t="s">
        <v>499</v>
      </c>
      <c r="B106" s="49" t="n">
        <v>0.25</v>
      </c>
      <c r="C106" s="49" t="n">
        <v>0.25</v>
      </c>
      <c r="D106" s="49" t="n">
        <v>0.25</v>
      </c>
      <c r="E106" s="6" t="s">
        <v>500</v>
      </c>
      <c r="G106" s="16" t="n">
        <f aca="false">$C106</f>
        <v>0.25</v>
      </c>
      <c r="H106" s="16" t="n">
        <f aca="false">$C106</f>
        <v>0.25</v>
      </c>
      <c r="I106" s="16" t="n">
        <f aca="false">$C106</f>
        <v>0.25</v>
      </c>
      <c r="J106" s="16" t="n">
        <f aca="false">$C106</f>
        <v>0.25</v>
      </c>
      <c r="K106" s="16" t="n">
        <f aca="false">$C106</f>
        <v>0.25</v>
      </c>
      <c r="L106" s="16" t="n">
        <f aca="false">$C106</f>
        <v>0.25</v>
      </c>
      <c r="M106" s="16" t="n">
        <f aca="false">0.21</f>
        <v>0.21</v>
      </c>
      <c r="N106" s="16" t="n">
        <f aca="false">0.25</f>
        <v>0.25</v>
      </c>
      <c r="O106" s="16" t="n">
        <f aca="false">0.28</f>
        <v>0.28</v>
      </c>
      <c r="P106" s="16" t="n">
        <f aca="false">$C106</f>
        <v>0.25</v>
      </c>
      <c r="Q106" s="16" t="n">
        <f aca="false">$C106</f>
        <v>0.25</v>
      </c>
      <c r="R106" s="16" t="n">
        <f aca="false">$C106</f>
        <v>0.25</v>
      </c>
      <c r="S106" s="16" t="n">
        <f aca="false">$C106</f>
        <v>0.25</v>
      </c>
      <c r="T106" s="16" t="n">
        <f aca="false">$C106</f>
        <v>0.25</v>
      </c>
      <c r="U106" s="16" t="n">
        <f aca="false">$C106</f>
        <v>0.25</v>
      </c>
    </row>
    <row r="107" customFormat="false" ht="15" hidden="false" customHeight="true" outlineLevel="0" collapsed="false">
      <c r="A107" s="13" t="s">
        <v>501</v>
      </c>
      <c r="B107" s="48" t="n">
        <v>0</v>
      </c>
      <c r="C107" s="48" t="n">
        <v>0</v>
      </c>
      <c r="D107" s="48" t="n">
        <v>0</v>
      </c>
      <c r="E107" s="6" t="s">
        <v>502</v>
      </c>
      <c r="G107" s="35" t="n">
        <f aca="false">$C107</f>
        <v>0</v>
      </c>
      <c r="H107" s="35" t="n">
        <f aca="false">$C107</f>
        <v>0</v>
      </c>
      <c r="I107" s="35" t="n">
        <f aca="false">$C107</f>
        <v>0</v>
      </c>
      <c r="J107" s="35" t="n">
        <f aca="false">$C107</f>
        <v>0</v>
      </c>
      <c r="K107" s="35" t="n">
        <f aca="false">$C107</f>
        <v>0</v>
      </c>
      <c r="L107" s="35" t="n">
        <f aca="false">$C107</f>
        <v>0</v>
      </c>
      <c r="M107" s="35" t="n">
        <f aca="false">$C107</f>
        <v>0</v>
      </c>
      <c r="N107" s="35" t="n">
        <f aca="false">$C107</f>
        <v>0</v>
      </c>
      <c r="O107" s="35" t="n">
        <f aca="false">$C107</f>
        <v>0</v>
      </c>
      <c r="P107" s="35" t="n">
        <f aca="false">200000</f>
        <v>200000</v>
      </c>
      <c r="Q107" s="35" t="n">
        <f aca="false">$C107</f>
        <v>0</v>
      </c>
      <c r="R107" s="35" t="n">
        <f aca="false">$C107</f>
        <v>0</v>
      </c>
      <c r="S107" s="35" t="n">
        <f aca="false">$C107</f>
        <v>0</v>
      </c>
      <c r="T107" s="35" t="n">
        <f aca="false">$C107</f>
        <v>0</v>
      </c>
      <c r="U107" s="35" t="n">
        <f aca="false">$C107</f>
        <v>0</v>
      </c>
    </row>
    <row r="108" customFormat="false" ht="15" hidden="false" customHeight="true" outlineLevel="0" collapsed="false">
      <c r="A108" s="13" t="s">
        <v>503</v>
      </c>
      <c r="B108" s="49" t="n">
        <v>0</v>
      </c>
      <c r="C108" s="49" t="n">
        <v>0</v>
      </c>
      <c r="D108" s="49" t="n">
        <v>0</v>
      </c>
      <c r="E108" s="6" t="s">
        <v>504</v>
      </c>
      <c r="G108" s="16" t="n">
        <f aca="false">$C108</f>
        <v>0</v>
      </c>
      <c r="H108" s="16" t="n">
        <f aca="false">$C108</f>
        <v>0</v>
      </c>
      <c r="I108" s="16" t="n">
        <f aca="false">$C108</f>
        <v>0</v>
      </c>
      <c r="J108" s="16" t="n">
        <f aca="false">$C108</f>
        <v>0</v>
      </c>
      <c r="K108" s="16" t="n">
        <f aca="false">$C108</f>
        <v>0</v>
      </c>
      <c r="L108" s="16" t="n">
        <f aca="false">$C108</f>
        <v>0</v>
      </c>
      <c r="M108" s="16" t="n">
        <f aca="false">$C108</f>
        <v>0</v>
      </c>
      <c r="N108" s="16" t="n">
        <f aca="false">$C108</f>
        <v>0</v>
      </c>
      <c r="O108" s="16" t="n">
        <f aca="false">$C108</f>
        <v>0</v>
      </c>
      <c r="P108" s="16" t="n">
        <f aca="false">$C108</f>
        <v>0</v>
      </c>
      <c r="Q108" s="16" t="n">
        <f aca="false">1</f>
        <v>1</v>
      </c>
      <c r="R108" s="16" t="n">
        <f aca="false">1</f>
        <v>1</v>
      </c>
      <c r="S108" s="16" t="n">
        <f aca="false">1</f>
        <v>1</v>
      </c>
      <c r="T108" s="16" t="n">
        <f aca="false">1-$B$45/$B$42</f>
        <v>0.761224033951307</v>
      </c>
      <c r="U108" s="16" t="n">
        <f aca="false">$C108</f>
        <v>0</v>
      </c>
    </row>
    <row r="109" customFormat="false" ht="15" hidden="false" customHeight="true" outlineLevel="0" collapsed="false">
      <c r="A109" s="13" t="s">
        <v>505</v>
      </c>
      <c r="B109" s="49" t="n">
        <v>0.2</v>
      </c>
      <c r="C109" s="49" t="n">
        <v>0.2</v>
      </c>
      <c r="D109" s="49" t="n">
        <v>0.2</v>
      </c>
      <c r="E109" s="6" t="s">
        <v>506</v>
      </c>
      <c r="G109" s="16" t="n">
        <f aca="false">$C109</f>
        <v>0.2</v>
      </c>
      <c r="H109" s="16" t="n">
        <f aca="false">$C109</f>
        <v>0.2</v>
      </c>
      <c r="I109" s="16" t="n">
        <f aca="false">$C109</f>
        <v>0.2</v>
      </c>
      <c r="J109" s="16" t="n">
        <f aca="false">$C109</f>
        <v>0.2</v>
      </c>
      <c r="K109" s="16" t="n">
        <f aca="false">$C109</f>
        <v>0.2</v>
      </c>
      <c r="L109" s="16" t="n">
        <f aca="false">$C109</f>
        <v>0.2</v>
      </c>
      <c r="M109" s="16" t="n">
        <f aca="false">$C109</f>
        <v>0.2</v>
      </c>
      <c r="N109" s="16" t="n">
        <f aca="false">$C109</f>
        <v>0.2</v>
      </c>
      <c r="O109" s="16" t="n">
        <f aca="false">$C109</f>
        <v>0.2</v>
      </c>
      <c r="P109" s="16" t="n">
        <f aca="false">$C109</f>
        <v>0.2</v>
      </c>
      <c r="Q109" s="16" t="n">
        <f aca="false">$C109</f>
        <v>0.2</v>
      </c>
      <c r="R109" s="16" t="n">
        <f aca="false">0.3</f>
        <v>0.3</v>
      </c>
      <c r="S109" s="16" t="n">
        <f aca="false">0.1</f>
        <v>0.1</v>
      </c>
      <c r="T109" s="16" t="n">
        <f aca="false">$C109</f>
        <v>0.2</v>
      </c>
      <c r="U109" s="16" t="n">
        <f aca="false">$C109</f>
        <v>0.2</v>
      </c>
    </row>
    <row r="110" customFormat="false" ht="15" hidden="false" customHeight="true" outlineLevel="0" collapsed="false">
      <c r="A110" s="13" t="s">
        <v>507</v>
      </c>
      <c r="B110" s="49" t="n">
        <v>0.25</v>
      </c>
      <c r="C110" s="49" t="n">
        <v>0.25</v>
      </c>
      <c r="D110" s="49" t="n">
        <v>0.25</v>
      </c>
      <c r="G110" s="16" t="n">
        <f aca="false">$C110</f>
        <v>0.25</v>
      </c>
      <c r="H110" s="16" t="n">
        <f aca="false">$C110</f>
        <v>0.25</v>
      </c>
      <c r="I110" s="16" t="n">
        <f aca="false">$C110</f>
        <v>0.25</v>
      </c>
      <c r="J110" s="16" t="n">
        <f aca="false">$C110</f>
        <v>0.25</v>
      </c>
      <c r="K110" s="16" t="n">
        <f aca="false">$C110</f>
        <v>0.25</v>
      </c>
      <c r="L110" s="16" t="n">
        <f aca="false">$C110</f>
        <v>0.25</v>
      </c>
      <c r="M110" s="16" t="n">
        <f aca="false">$C110</f>
        <v>0.25</v>
      </c>
      <c r="N110" s="16" t="n">
        <f aca="false">$C110</f>
        <v>0.25</v>
      </c>
      <c r="O110" s="16" t="n">
        <f aca="false">$C110</f>
        <v>0.25</v>
      </c>
      <c r="P110" s="16" t="n">
        <f aca="false">$C110</f>
        <v>0.25</v>
      </c>
      <c r="Q110" s="16" t="n">
        <f aca="false">$C110</f>
        <v>0.25</v>
      </c>
      <c r="R110" s="16" t="n">
        <f aca="false">0.25</f>
        <v>0.25</v>
      </c>
      <c r="S110" s="16" t="n">
        <f aca="false">0.2</f>
        <v>0.2</v>
      </c>
      <c r="T110" s="16" t="n">
        <f aca="false">$C110</f>
        <v>0.25</v>
      </c>
      <c r="U110" s="16" t="n">
        <f aca="false">$C110</f>
        <v>0.25</v>
      </c>
    </row>
    <row r="111" customFormat="false" ht="15" hidden="false" customHeight="true" outlineLevel="0" collapsed="false">
      <c r="A111" s="13" t="s">
        <v>508</v>
      </c>
      <c r="B111" s="49" t="n">
        <v>0.275</v>
      </c>
      <c r="C111" s="49" t="n">
        <v>0.275</v>
      </c>
      <c r="D111" s="49" t="n">
        <v>0.275</v>
      </c>
      <c r="G111" s="16" t="n">
        <f aca="false">$C111</f>
        <v>0.275</v>
      </c>
      <c r="H111" s="16" t="n">
        <f aca="false">$C111</f>
        <v>0.275</v>
      </c>
      <c r="I111" s="16" t="n">
        <f aca="false">$C111</f>
        <v>0.275</v>
      </c>
      <c r="J111" s="16" t="n">
        <f aca="false">$C111</f>
        <v>0.275</v>
      </c>
      <c r="K111" s="16" t="n">
        <f aca="false">$C111</f>
        <v>0.275</v>
      </c>
      <c r="L111" s="16" t="n">
        <f aca="false">$C111</f>
        <v>0.275</v>
      </c>
      <c r="M111" s="16" t="n">
        <f aca="false">$C111</f>
        <v>0.275</v>
      </c>
      <c r="N111" s="16" t="n">
        <f aca="false">$C111</f>
        <v>0.275</v>
      </c>
      <c r="O111" s="16" t="n">
        <f aca="false">$C111</f>
        <v>0.275</v>
      </c>
      <c r="P111" s="16" t="n">
        <f aca="false">$C111</f>
        <v>0.275</v>
      </c>
      <c r="Q111" s="16" t="n">
        <f aca="false">$C111</f>
        <v>0.275</v>
      </c>
      <c r="R111" s="16" t="n">
        <f aca="false">0.25</f>
        <v>0.25</v>
      </c>
      <c r="S111" s="16" t="n">
        <f aca="false">0.3</f>
        <v>0.3</v>
      </c>
      <c r="T111" s="16" t="n">
        <f aca="false">$C111</f>
        <v>0.275</v>
      </c>
      <c r="U111" s="16" t="n">
        <f aca="false">$C111</f>
        <v>0.275</v>
      </c>
    </row>
    <row r="112" customFormat="false" ht="15" hidden="false" customHeight="true" outlineLevel="0" collapsed="false">
      <c r="A112" s="13" t="s">
        <v>509</v>
      </c>
      <c r="B112" s="49" t="n">
        <v>0.275</v>
      </c>
      <c r="C112" s="49" t="n">
        <v>0.275</v>
      </c>
      <c r="D112" s="49" t="n">
        <v>0.275</v>
      </c>
      <c r="G112" s="16" t="n">
        <f aca="false">$C112</f>
        <v>0.275</v>
      </c>
      <c r="H112" s="16" t="n">
        <f aca="false">$C112</f>
        <v>0.275</v>
      </c>
      <c r="I112" s="16" t="n">
        <f aca="false">$C112</f>
        <v>0.275</v>
      </c>
      <c r="J112" s="16" t="n">
        <f aca="false">$C112</f>
        <v>0.275</v>
      </c>
      <c r="K112" s="16" t="n">
        <f aca="false">$C112</f>
        <v>0.275</v>
      </c>
      <c r="L112" s="16" t="n">
        <f aca="false">$C112</f>
        <v>0.275</v>
      </c>
      <c r="M112" s="16" t="n">
        <f aca="false">$C112</f>
        <v>0.275</v>
      </c>
      <c r="N112" s="16" t="n">
        <f aca="false">$C112</f>
        <v>0.275</v>
      </c>
      <c r="O112" s="16" t="n">
        <f aca="false">$C112</f>
        <v>0.275</v>
      </c>
      <c r="P112" s="16" t="n">
        <f aca="false">$C112</f>
        <v>0.275</v>
      </c>
      <c r="Q112" s="16" t="n">
        <f aca="false">$C112</f>
        <v>0.275</v>
      </c>
      <c r="R112" s="16" t="n">
        <f aca="false">0.2</f>
        <v>0.2</v>
      </c>
      <c r="S112" s="16" t="n">
        <f aca="false">0.4</f>
        <v>0.4</v>
      </c>
      <c r="T112" s="16" t="n">
        <f aca="false">$C112</f>
        <v>0.275</v>
      </c>
      <c r="U112" s="16" t="n">
        <f aca="false">$C112</f>
        <v>0.275</v>
      </c>
    </row>
    <row r="113" customFormat="false" ht="15" hidden="false" customHeight="true" outlineLevel="0" collapsed="false">
      <c r="A113" s="13" t="s">
        <v>510</v>
      </c>
      <c r="B113" s="48" t="n">
        <v>0</v>
      </c>
      <c r="C113" s="48" t="n">
        <v>0</v>
      </c>
      <c r="D113" s="48" t="n">
        <v>0</v>
      </c>
      <c r="E113" s="6" t="s">
        <v>511</v>
      </c>
      <c r="G113" s="35" t="n">
        <f aca="false">$C113</f>
        <v>0</v>
      </c>
      <c r="H113" s="35" t="n">
        <f aca="false">$C113</f>
        <v>0</v>
      </c>
      <c r="I113" s="35" t="n">
        <f aca="false">$C113</f>
        <v>0</v>
      </c>
      <c r="J113" s="35" t="n">
        <f aca="false">$C113</f>
        <v>0</v>
      </c>
      <c r="K113" s="35" t="n">
        <f aca="false">$C113</f>
        <v>0</v>
      </c>
      <c r="L113" s="35" t="n">
        <f aca="false">$C113</f>
        <v>0</v>
      </c>
      <c r="M113" s="35" t="n">
        <f aca="false">$C113</f>
        <v>0</v>
      </c>
      <c r="N113" s="35" t="n">
        <f aca="false">$C113</f>
        <v>0</v>
      </c>
      <c r="O113" s="35" t="n">
        <f aca="false">$C113</f>
        <v>0</v>
      </c>
      <c r="P113" s="35" t="n">
        <f aca="false">$C113</f>
        <v>0</v>
      </c>
      <c r="Q113" s="35" t="n">
        <f aca="false">$C113</f>
        <v>0</v>
      </c>
      <c r="R113" s="35" t="n">
        <f aca="false">$C113</f>
        <v>0</v>
      </c>
      <c r="S113" s="35" t="n">
        <f aca="false">$C113</f>
        <v>0</v>
      </c>
      <c r="T113" s="35" t="n">
        <f aca="false">$C113</f>
        <v>0</v>
      </c>
      <c r="U113" s="35" t="n">
        <f aca="false">Historicals!H6-0.45*Historicals!H5</f>
        <v>2232.8</v>
      </c>
    </row>
    <row r="114" customFormat="false" ht="15" hidden="false" customHeight="true" outlineLevel="0" collapsed="false">
      <c r="A114" s="13" t="s">
        <v>512</v>
      </c>
      <c r="B114" s="49" t="n">
        <v>0.25</v>
      </c>
      <c r="C114" s="49" t="n">
        <v>0.5</v>
      </c>
      <c r="D114" s="49" t="n">
        <v>0.25</v>
      </c>
      <c r="E114" s="6" t="s">
        <v>513</v>
      </c>
    </row>
    <row r="115" customFormat="false" ht="15" hidden="false" customHeight="true" outlineLevel="0" collapsed="false">
      <c r="A115" s="10" t="s">
        <v>514</v>
      </c>
      <c r="B115" s="20" t="n">
        <f aca="false">SUM(B114:D114)</f>
        <v>1</v>
      </c>
    </row>
    <row r="117" customFormat="false" ht="15" hidden="false" customHeight="true" outlineLevel="0" collapsed="false">
      <c r="A117" s="8" t="s">
        <v>515</v>
      </c>
      <c r="B117" s="9" t="s">
        <v>60</v>
      </c>
      <c r="C117" s="9" t="s">
        <v>61</v>
      </c>
      <c r="D117" s="9" t="s">
        <v>62</v>
      </c>
      <c r="E117" s="9" t="s">
        <v>439</v>
      </c>
    </row>
    <row r="118" customFormat="false" ht="15" hidden="false" customHeight="true" outlineLevel="0" collapsed="false">
      <c r="A118" s="13" t="s">
        <v>516</v>
      </c>
      <c r="B118" s="49" t="n">
        <v>0.005</v>
      </c>
      <c r="C118" s="49" t="n">
        <v>0.02</v>
      </c>
      <c r="D118" s="49" t="n">
        <v>0.04</v>
      </c>
      <c r="E118" s="6" t="s">
        <v>517</v>
      </c>
      <c r="G118" s="16" t="n">
        <f aca="false">$C118</f>
        <v>0.02</v>
      </c>
      <c r="H118" s="16" t="n">
        <f aca="false">$C118</f>
        <v>0.02</v>
      </c>
      <c r="I118" s="16" t="n">
        <f aca="false">$C118</f>
        <v>0.02</v>
      </c>
      <c r="J118" s="16" t="n">
        <f aca="false">$C118</f>
        <v>0.02</v>
      </c>
      <c r="K118" s="16" t="n">
        <f aca="false">$C118</f>
        <v>0.02</v>
      </c>
      <c r="L118" s="16" t="n">
        <f aca="false">$C118</f>
        <v>0.02</v>
      </c>
      <c r="M118" s="16" t="n">
        <f aca="false">$C118</f>
        <v>0.02</v>
      </c>
      <c r="N118" s="16" t="n">
        <f aca="false">$C118</f>
        <v>0.02</v>
      </c>
      <c r="O118" s="16" t="n">
        <f aca="false">$C118</f>
        <v>0.02</v>
      </c>
      <c r="P118" s="16" t="n">
        <f aca="false">$C118</f>
        <v>0.02</v>
      </c>
      <c r="Q118" s="16" t="n">
        <f aca="false">$C118</f>
        <v>0.02</v>
      </c>
      <c r="R118" s="16" t="n">
        <f aca="false">$C118</f>
        <v>0.02</v>
      </c>
      <c r="S118" s="16" t="n">
        <f aca="false">$C118</f>
        <v>0.02</v>
      </c>
      <c r="T118" s="16" t="n">
        <f aca="false">$C118</f>
        <v>0.02</v>
      </c>
      <c r="U118" s="16" t="n">
        <f aca="false">$C118</f>
        <v>0.02</v>
      </c>
    </row>
    <row r="119" customFormat="false" ht="15" hidden="false" customHeight="true" outlineLevel="0" collapsed="false">
      <c r="A119" s="13" t="s">
        <v>518</v>
      </c>
      <c r="B119" s="49" t="n">
        <v>0.015</v>
      </c>
      <c r="C119" s="49" t="n">
        <v>0.05</v>
      </c>
      <c r="D119" s="49" t="n">
        <v>0.1</v>
      </c>
      <c r="G119" s="16" t="n">
        <f aca="false">$C119</f>
        <v>0.05</v>
      </c>
      <c r="H119" s="16" t="n">
        <f aca="false">$C119</f>
        <v>0.05</v>
      </c>
      <c r="I119" s="16" t="n">
        <f aca="false">$C119</f>
        <v>0.05</v>
      </c>
      <c r="J119" s="16" t="n">
        <f aca="false">$C119</f>
        <v>0.05</v>
      </c>
      <c r="K119" s="16" t="n">
        <f aca="false">$C119</f>
        <v>0.05</v>
      </c>
      <c r="L119" s="16" t="n">
        <f aca="false">$C119</f>
        <v>0.05</v>
      </c>
      <c r="M119" s="16" t="n">
        <f aca="false">$C119</f>
        <v>0.05</v>
      </c>
      <c r="N119" s="16" t="n">
        <f aca="false">$C119</f>
        <v>0.05</v>
      </c>
      <c r="O119" s="16" t="n">
        <f aca="false">$C119</f>
        <v>0.05</v>
      </c>
      <c r="P119" s="16" t="n">
        <f aca="false">$C119</f>
        <v>0.05</v>
      </c>
      <c r="Q119" s="16" t="n">
        <f aca="false">$C119</f>
        <v>0.05</v>
      </c>
      <c r="R119" s="16" t="n">
        <f aca="false">$C119</f>
        <v>0.05</v>
      </c>
      <c r="S119" s="16" t="n">
        <f aca="false">$C119</f>
        <v>0.05</v>
      </c>
      <c r="T119" s="16" t="n">
        <f aca="false">$C119</f>
        <v>0.05</v>
      </c>
      <c r="U119" s="16" t="n">
        <f aca="false">$C119</f>
        <v>0.05</v>
      </c>
    </row>
    <row r="120" customFormat="false" ht="15" hidden="false" customHeight="true" outlineLevel="0" collapsed="false">
      <c r="A120" s="13" t="s">
        <v>519</v>
      </c>
      <c r="B120" s="49" t="n">
        <v>0.03</v>
      </c>
      <c r="C120" s="49" t="n">
        <v>0.1</v>
      </c>
      <c r="D120" s="49" t="n">
        <v>0.18</v>
      </c>
      <c r="G120" s="16" t="n">
        <f aca="false">$C120</f>
        <v>0.1</v>
      </c>
      <c r="H120" s="16" t="n">
        <f aca="false">$C120</f>
        <v>0.1</v>
      </c>
      <c r="I120" s="16" t="n">
        <f aca="false">$C120</f>
        <v>0.1</v>
      </c>
      <c r="J120" s="16" t="n">
        <f aca="false">$C120</f>
        <v>0.1</v>
      </c>
      <c r="K120" s="16" t="n">
        <f aca="false">$C120</f>
        <v>0.1</v>
      </c>
      <c r="L120" s="16" t="n">
        <f aca="false">$C120</f>
        <v>0.1</v>
      </c>
      <c r="M120" s="16" t="n">
        <f aca="false">$C120</f>
        <v>0.1</v>
      </c>
      <c r="N120" s="16" t="n">
        <f aca="false">$C120</f>
        <v>0.1</v>
      </c>
      <c r="O120" s="16" t="n">
        <f aca="false">$C120</f>
        <v>0.1</v>
      </c>
      <c r="P120" s="16" t="n">
        <f aca="false">$C120</f>
        <v>0.1</v>
      </c>
      <c r="Q120" s="16" t="n">
        <f aca="false">$C120</f>
        <v>0.1</v>
      </c>
      <c r="R120" s="16" t="n">
        <f aca="false">$C120</f>
        <v>0.1</v>
      </c>
      <c r="S120" s="16" t="n">
        <f aca="false">$C120</f>
        <v>0.1</v>
      </c>
      <c r="T120" s="16" t="n">
        <f aca="false">$C120</f>
        <v>0.1</v>
      </c>
      <c r="U120" s="16" t="n">
        <f aca="false">$C120</f>
        <v>0.1</v>
      </c>
    </row>
    <row r="121" customFormat="false" ht="15" hidden="false" customHeight="true" outlineLevel="0" collapsed="false">
      <c r="A121" s="13" t="s">
        <v>520</v>
      </c>
      <c r="B121" s="49" t="n">
        <v>0.05</v>
      </c>
      <c r="C121" s="49" t="n">
        <v>0.15</v>
      </c>
      <c r="D121" s="49" t="n">
        <v>0.25</v>
      </c>
      <c r="G121" s="16" t="n">
        <f aca="false">$C121</f>
        <v>0.15</v>
      </c>
      <c r="H121" s="16" t="n">
        <f aca="false">$C121</f>
        <v>0.15</v>
      </c>
      <c r="I121" s="16" t="n">
        <f aca="false">$C121</f>
        <v>0.15</v>
      </c>
      <c r="J121" s="16" t="n">
        <f aca="false">$C121</f>
        <v>0.15</v>
      </c>
      <c r="K121" s="16" t="n">
        <f aca="false">$C121</f>
        <v>0.15</v>
      </c>
      <c r="L121" s="16" t="n">
        <f aca="false">$C121</f>
        <v>0.15</v>
      </c>
      <c r="M121" s="16" t="n">
        <f aca="false">$C121</f>
        <v>0.15</v>
      </c>
      <c r="N121" s="16" t="n">
        <f aca="false">$C121</f>
        <v>0.15</v>
      </c>
      <c r="O121" s="16" t="n">
        <f aca="false">$C121</f>
        <v>0.15</v>
      </c>
      <c r="P121" s="16" t="n">
        <f aca="false">$C121</f>
        <v>0.15</v>
      </c>
      <c r="Q121" s="16" t="n">
        <f aca="false">$C121</f>
        <v>0.15</v>
      </c>
      <c r="R121" s="16" t="n">
        <f aca="false">$C121</f>
        <v>0.15</v>
      </c>
      <c r="S121" s="16" t="n">
        <f aca="false">$C121</f>
        <v>0.15</v>
      </c>
      <c r="T121" s="16" t="n">
        <f aca="false">$C121</f>
        <v>0.15</v>
      </c>
      <c r="U121" s="16" t="n">
        <f aca="false">$C121</f>
        <v>0.15</v>
      </c>
    </row>
    <row r="122" customFormat="false" ht="15" hidden="false" customHeight="true" outlineLevel="0" collapsed="false">
      <c r="A122" s="13" t="s">
        <v>521</v>
      </c>
      <c r="B122" s="50" t="n">
        <v>4</v>
      </c>
      <c r="C122" s="50" t="n">
        <v>8</v>
      </c>
      <c r="D122" s="50" t="n">
        <v>12</v>
      </c>
      <c r="E122" s="6" t="s">
        <v>522</v>
      </c>
      <c r="G122" s="28" t="n">
        <f aca="false">$C122</f>
        <v>8</v>
      </c>
      <c r="H122" s="28" t="n">
        <f aca="false">$C122</f>
        <v>8</v>
      </c>
      <c r="I122" s="28" t="n">
        <f aca="false">$C122</f>
        <v>8</v>
      </c>
      <c r="J122" s="28" t="n">
        <f aca="false">$C122</f>
        <v>8</v>
      </c>
      <c r="K122" s="28" t="n">
        <f aca="false">$C122</f>
        <v>8</v>
      </c>
      <c r="L122" s="28" t="n">
        <f aca="false">$C122</f>
        <v>8</v>
      </c>
      <c r="M122" s="28" t="n">
        <f aca="false">$C122</f>
        <v>8</v>
      </c>
      <c r="N122" s="28" t="n">
        <f aca="false">$C122</f>
        <v>8</v>
      </c>
      <c r="O122" s="28" t="n">
        <f aca="false">$C122</f>
        <v>8</v>
      </c>
      <c r="P122" s="28" t="n">
        <f aca="false">$C122</f>
        <v>8</v>
      </c>
      <c r="Q122" s="28" t="n">
        <f aca="false">$C122</f>
        <v>8</v>
      </c>
      <c r="R122" s="28" t="n">
        <f aca="false">$C122</f>
        <v>8</v>
      </c>
      <c r="S122" s="28" t="n">
        <f aca="false">$C122</f>
        <v>8</v>
      </c>
      <c r="T122" s="28" t="n">
        <f aca="false">$C122</f>
        <v>8</v>
      </c>
      <c r="U122" s="28" t="n">
        <f aca="false">$C122</f>
        <v>8</v>
      </c>
    </row>
    <row r="123" customFormat="false" ht="15" hidden="false" customHeight="true" outlineLevel="0" collapsed="false">
      <c r="A123" s="13" t="s">
        <v>523</v>
      </c>
      <c r="B123" s="49" t="n">
        <v>0.1</v>
      </c>
      <c r="C123" s="49" t="n">
        <v>0.15</v>
      </c>
      <c r="D123" s="49" t="n">
        <v>0.2</v>
      </c>
      <c r="E123" s="6" t="s">
        <v>524</v>
      </c>
      <c r="G123" s="16" t="n">
        <f aca="false">$C123</f>
        <v>0.15</v>
      </c>
      <c r="H123" s="16" t="n">
        <f aca="false">$C123</f>
        <v>0.15</v>
      </c>
      <c r="I123" s="16" t="n">
        <f aca="false">$C123</f>
        <v>0.15</v>
      </c>
      <c r="J123" s="16" t="n">
        <f aca="false">$C123</f>
        <v>0.15</v>
      </c>
      <c r="K123" s="16" t="n">
        <f aca="false">$C123</f>
        <v>0.15</v>
      </c>
      <c r="L123" s="16" t="n">
        <f aca="false">$C123</f>
        <v>0.15</v>
      </c>
      <c r="M123" s="16" t="n">
        <f aca="false">$C123</f>
        <v>0.15</v>
      </c>
      <c r="N123" s="16" t="n">
        <f aca="false">$C123</f>
        <v>0.15</v>
      </c>
      <c r="O123" s="16" t="n">
        <f aca="false">$C123</f>
        <v>0.15</v>
      </c>
      <c r="P123" s="16" t="n">
        <f aca="false">$C123</f>
        <v>0.15</v>
      </c>
      <c r="Q123" s="16" t="n">
        <f aca="false">$C123</f>
        <v>0.15</v>
      </c>
      <c r="R123" s="16" t="n">
        <f aca="false">$C123</f>
        <v>0.15</v>
      </c>
      <c r="S123" s="16" t="n">
        <f aca="false">$C123</f>
        <v>0.15</v>
      </c>
      <c r="T123" s="16" t="n">
        <f aca="false">$C123</f>
        <v>0.15</v>
      </c>
      <c r="U123" s="16" t="n">
        <f aca="false">$C123</f>
        <v>0.15</v>
      </c>
    </row>
    <row r="124" customFormat="false" ht="15" hidden="false" customHeight="true" outlineLevel="0" collapsed="false">
      <c r="A124" s="13" t="s">
        <v>525</v>
      </c>
      <c r="B124" s="49" t="n">
        <v>0.5</v>
      </c>
      <c r="C124" s="49" t="n">
        <v>0.3</v>
      </c>
      <c r="D124" s="49" t="n">
        <v>0.2</v>
      </c>
      <c r="E124" s="6" t="s">
        <v>526</v>
      </c>
      <c r="G124" s="16" t="n">
        <f aca="false">$C124</f>
        <v>0.3</v>
      </c>
      <c r="H124" s="16" t="n">
        <f aca="false">$C124</f>
        <v>0.3</v>
      </c>
      <c r="I124" s="16" t="n">
        <f aca="false">$C124</f>
        <v>0.3</v>
      </c>
      <c r="J124" s="16" t="n">
        <f aca="false">$C124</f>
        <v>0.3</v>
      </c>
      <c r="K124" s="16" t="n">
        <f aca="false">$C124</f>
        <v>0.3</v>
      </c>
      <c r="L124" s="16" t="n">
        <f aca="false">$C124</f>
        <v>0.3</v>
      </c>
      <c r="M124" s="16" t="n">
        <f aca="false">$C124</f>
        <v>0.3</v>
      </c>
      <c r="N124" s="16" t="n">
        <f aca="false">$C124</f>
        <v>0.3</v>
      </c>
      <c r="O124" s="16" t="n">
        <f aca="false">$C124</f>
        <v>0.3</v>
      </c>
      <c r="P124" s="16" t="n">
        <f aca="false">$C124</f>
        <v>0.3</v>
      </c>
      <c r="Q124" s="16" t="n">
        <f aca="false">$C124</f>
        <v>0.3</v>
      </c>
      <c r="R124" s="16" t="n">
        <f aca="false">$C124</f>
        <v>0.3</v>
      </c>
      <c r="S124" s="16" t="n">
        <f aca="false">$C124</f>
        <v>0.3</v>
      </c>
      <c r="T124" s="16" t="n">
        <f aca="false">$C124</f>
        <v>0.3</v>
      </c>
      <c r="U124" s="16" t="n">
        <f aca="false">$C124</f>
        <v>0.3</v>
      </c>
    </row>
    <row r="125" customFormat="false" ht="15" hidden="false" customHeight="true" outlineLevel="0" collapsed="false">
      <c r="A125" s="13" t="s">
        <v>527</v>
      </c>
      <c r="B125" s="49" t="n">
        <v>0.3</v>
      </c>
      <c r="C125" s="49" t="n">
        <v>0.2</v>
      </c>
      <c r="D125" s="49" t="n">
        <v>0.15</v>
      </c>
      <c r="E125" s="6" t="s">
        <v>528</v>
      </c>
      <c r="G125" s="16" t="n">
        <f aca="false">$C125</f>
        <v>0.2</v>
      </c>
      <c r="H125" s="16" t="n">
        <f aca="false">$C125</f>
        <v>0.2</v>
      </c>
      <c r="I125" s="16" t="n">
        <f aca="false">$C125</f>
        <v>0.2</v>
      </c>
      <c r="J125" s="16" t="n">
        <f aca="false">$C125</f>
        <v>0.2</v>
      </c>
      <c r="K125" s="16" t="n">
        <f aca="false">$C125</f>
        <v>0.2</v>
      </c>
      <c r="L125" s="16" t="n">
        <f aca="false">$C125</f>
        <v>0.2</v>
      </c>
      <c r="M125" s="16" t="n">
        <f aca="false">$C125</f>
        <v>0.2</v>
      </c>
      <c r="N125" s="16" t="n">
        <f aca="false">$C125</f>
        <v>0.2</v>
      </c>
      <c r="O125" s="16" t="n">
        <f aca="false">$C125</f>
        <v>0.2</v>
      </c>
      <c r="P125" s="16" t="n">
        <f aca="false">$C125</f>
        <v>0.2</v>
      </c>
      <c r="Q125" s="16" t="n">
        <f aca="false">$C125</f>
        <v>0.2</v>
      </c>
      <c r="R125" s="16" t="n">
        <f aca="false">$C125</f>
        <v>0.2</v>
      </c>
      <c r="S125" s="16" t="n">
        <f aca="false">$C125</f>
        <v>0.2</v>
      </c>
      <c r="T125" s="16" t="n">
        <f aca="false">$C125</f>
        <v>0.2</v>
      </c>
      <c r="U125" s="16" t="n">
        <f aca="false">$C125</f>
        <v>0.2</v>
      </c>
    </row>
    <row r="126" customFormat="false" ht="15" hidden="false" customHeight="true" outlineLevel="0" collapsed="false">
      <c r="A126" s="13" t="s">
        <v>529</v>
      </c>
      <c r="B126" s="49" t="n">
        <v>0.25</v>
      </c>
      <c r="C126" s="49" t="n">
        <v>0.15</v>
      </c>
      <c r="D126" s="49" t="n">
        <v>0.1</v>
      </c>
      <c r="E126" s="6" t="s">
        <v>530</v>
      </c>
      <c r="G126" s="16" t="n">
        <f aca="false">$C126</f>
        <v>0.15</v>
      </c>
      <c r="H126" s="16" t="n">
        <f aca="false">$C126</f>
        <v>0.15</v>
      </c>
      <c r="I126" s="16" t="n">
        <f aca="false">$C126</f>
        <v>0.15</v>
      </c>
      <c r="J126" s="16" t="n">
        <f aca="false">$C126</f>
        <v>0.15</v>
      </c>
      <c r="K126" s="16" t="n">
        <f aca="false">$C126</f>
        <v>0.15</v>
      </c>
      <c r="L126" s="16" t="n">
        <f aca="false">$C126</f>
        <v>0.15</v>
      </c>
      <c r="M126" s="16" t="n">
        <f aca="false">$C126</f>
        <v>0.15</v>
      </c>
      <c r="N126" s="16" t="n">
        <f aca="false">$C126</f>
        <v>0.15</v>
      </c>
      <c r="O126" s="16" t="n">
        <f aca="false">$C126</f>
        <v>0.15</v>
      </c>
      <c r="P126" s="16" t="n">
        <f aca="false">$C126</f>
        <v>0.15</v>
      </c>
      <c r="Q126" s="16" t="n">
        <f aca="false">$C126</f>
        <v>0.15</v>
      </c>
      <c r="R126" s="16" t="n">
        <f aca="false">$C126</f>
        <v>0.15</v>
      </c>
      <c r="S126" s="16" t="n">
        <f aca="false">$C126</f>
        <v>0.15</v>
      </c>
      <c r="T126" s="16" t="n">
        <f aca="false">$C126</f>
        <v>0.15</v>
      </c>
      <c r="U126" s="16" t="n">
        <f aca="false">$C126</f>
        <v>0.15</v>
      </c>
    </row>
    <row r="127" customFormat="false" ht="15" hidden="false" customHeight="true" outlineLevel="0" collapsed="false">
      <c r="A127" s="13" t="s">
        <v>531</v>
      </c>
      <c r="B127" s="49" t="n">
        <v>0.15</v>
      </c>
      <c r="C127" s="49" t="n">
        <v>0.1</v>
      </c>
      <c r="D127" s="49" t="n">
        <v>0.08</v>
      </c>
      <c r="E127" s="6" t="s">
        <v>532</v>
      </c>
      <c r="G127" s="16" t="n">
        <f aca="false">$C127</f>
        <v>0.1</v>
      </c>
      <c r="H127" s="16" t="n">
        <f aca="false">$C127</f>
        <v>0.1</v>
      </c>
      <c r="I127" s="16" t="n">
        <f aca="false">$C127</f>
        <v>0.1</v>
      </c>
      <c r="J127" s="16" t="n">
        <f aca="false">$C127</f>
        <v>0.1</v>
      </c>
      <c r="K127" s="16" t="n">
        <f aca="false">$C127</f>
        <v>0.1</v>
      </c>
      <c r="L127" s="16" t="n">
        <f aca="false">$C127</f>
        <v>0.1</v>
      </c>
      <c r="M127" s="16" t="n">
        <f aca="false">$C127</f>
        <v>0.1</v>
      </c>
      <c r="N127" s="16" t="n">
        <f aca="false">$C127</f>
        <v>0.1</v>
      </c>
      <c r="O127" s="16" t="n">
        <f aca="false">$C127</f>
        <v>0.1</v>
      </c>
      <c r="P127" s="16" t="n">
        <f aca="false">$C127</f>
        <v>0.1</v>
      </c>
      <c r="Q127" s="16" t="n">
        <f aca="false">$C127</f>
        <v>0.1</v>
      </c>
      <c r="R127" s="16" t="n">
        <f aca="false">$C127</f>
        <v>0.1</v>
      </c>
      <c r="S127" s="16" t="n">
        <f aca="false">$C127</f>
        <v>0.1</v>
      </c>
      <c r="T127" s="16" t="n">
        <f aca="false">$C127</f>
        <v>0.1</v>
      </c>
      <c r="U127" s="16" t="n">
        <f aca="false">$C127</f>
        <v>0.1</v>
      </c>
    </row>
    <row r="129" customFormat="false" ht="15" hidden="false" customHeight="true" outlineLevel="0" collapsed="false">
      <c r="A129" s="8" t="s">
        <v>533</v>
      </c>
      <c r="B129" s="9" t="s">
        <v>534</v>
      </c>
      <c r="C129" s="9" t="s">
        <v>535</v>
      </c>
    </row>
    <row r="130" customFormat="false" ht="15" hidden="false" customHeight="true" outlineLevel="0" collapsed="false">
      <c r="A130" s="13" t="s">
        <v>536</v>
      </c>
      <c r="B130" s="51" t="n">
        <f aca="false">IF(ABS($B$115-1)&gt;0.0005,1,0)</f>
        <v>0</v>
      </c>
      <c r="C130" s="6" t="s">
        <v>537</v>
      </c>
    </row>
    <row r="131" customFormat="false" ht="15" hidden="false" customHeight="true" outlineLevel="0" collapsed="false">
      <c r="A131" s="13" t="s">
        <v>538</v>
      </c>
      <c r="B131" s="51" t="n">
        <f aca="false">SUMPRODUCT(($B$114:$D$114&lt;0)+($B$114:$D$114&gt;1))</f>
        <v>0</v>
      </c>
      <c r="C131" s="6"/>
    </row>
    <row r="132" customFormat="false" ht="15" hidden="false" customHeight="true" outlineLevel="0" collapsed="false">
      <c r="A132" s="13" t="s">
        <v>539</v>
      </c>
      <c r="B132" s="51" t="n">
        <f aca="false">SUMPRODUCT(($B$118:$D$121&lt;0)+($B$118:$D$121&gt;1))</f>
        <v>0</v>
      </c>
      <c r="C132" s="6" t="s">
        <v>540</v>
      </c>
    </row>
    <row r="133" customFormat="false" ht="15" hidden="false" customHeight="true" outlineLevel="0" collapsed="false">
      <c r="A133" s="13" t="s">
        <v>541</v>
      </c>
      <c r="B133" s="51" t="n">
        <f aca="false">SUMPRODUCT(($B$123:$D$123&lt;0)+($B$123:$D$123&gt;1)+($B$124:$D$124&lt;0)+($B$124:$D$124&gt;1))</f>
        <v>0</v>
      </c>
      <c r="C133" s="6"/>
    </row>
    <row r="134" customFormat="false" ht="15" hidden="false" customHeight="true" outlineLevel="0" collapsed="false">
      <c r="A134" s="13" t="s">
        <v>542</v>
      </c>
      <c r="B134" s="51" t="n">
        <f aca="false">SUMPRODUCT(--(($B$125:$D$125+$B$126:$D$126+$B$127:$D$127)&gt;=1))</f>
        <v>0</v>
      </c>
      <c r="C134" s="6" t="s">
        <v>543</v>
      </c>
    </row>
    <row r="135" customFormat="false" ht="15" hidden="false" customHeight="true" outlineLevel="0" collapsed="false">
      <c r="A135" s="13" t="s">
        <v>544</v>
      </c>
      <c r="B135" s="51" t="n">
        <f aca="false">SUMPRODUCT(($B$102:$D$102&lt;=0)+($B$103:$D$103&lt;=0))+SUMPRODUCT(($G$102:$U$102&lt;=0)+($G$103:$U$103&lt;=0))</f>
        <v>0</v>
      </c>
      <c r="C135" s="6" t="s">
        <v>545</v>
      </c>
    </row>
    <row r="136" customFormat="false" ht="15" hidden="false" customHeight="true" outlineLevel="0" collapsed="false">
      <c r="A136" s="13" t="s">
        <v>546</v>
      </c>
      <c r="B136" s="51" t="n">
        <f aca="false">IF($B$19&lt;=0,1,0)</f>
        <v>0</v>
      </c>
      <c r="C136" s="6"/>
    </row>
    <row r="137" customFormat="false" ht="15" hidden="false" customHeight="true" outlineLevel="0" collapsed="false">
      <c r="A137" s="13" t="s">
        <v>547</v>
      </c>
      <c r="B137" s="51" t="n">
        <f aca="false">IF(OR($B$21&lt;0,$B$21&gt;1),1,0)</f>
        <v>0</v>
      </c>
      <c r="C137" s="6"/>
    </row>
    <row r="138" customFormat="false" ht="15" hidden="false" customHeight="true" outlineLevel="0" collapsed="false">
      <c r="A138" s="13" t="s">
        <v>548</v>
      </c>
      <c r="B138" s="51" t="n">
        <f aca="false">IF(OR($B$30&lt;0,$B$30&gt;=1,$B$31&lt;0,$B$31&gt;=1),1,0)</f>
        <v>0</v>
      </c>
      <c r="C138" s="6"/>
    </row>
    <row r="139" customFormat="false" ht="15" hidden="false" customHeight="true" outlineLevel="0" collapsed="false">
      <c r="A139" s="13" t="s">
        <v>549</v>
      </c>
      <c r="B139" s="51" t="n">
        <f aca="false">IF(OR($B$55&lt;0,$B$55&gt;1,$B$59&lt;0,$B$59&gt;1,$B$58&lt;0,$B$58&gt;1,$B$57&lt;0,$B$57&gt;1),1,0)</f>
        <v>0</v>
      </c>
      <c r="C139" s="6"/>
    </row>
    <row r="140" customFormat="false" ht="15" hidden="false" customHeight="true" outlineLevel="0" collapsed="false">
      <c r="A140" s="13" t="s">
        <v>550</v>
      </c>
      <c r="B140" s="51" t="n">
        <f aca="false">SUMPRODUCT(($B$105:$D$105&lt;&gt;0)*($B$105:$D$105&lt;&gt;1)*($B$105:$D$105&lt;&gt;2))+SUMPRODUCT(($G$105:$U$105&lt;&gt;0)*($G$105:$U$105&lt;&gt;1)*($G$105:$U$105&lt;&gt;2))</f>
        <v>0</v>
      </c>
      <c r="C140" s="6" t="s">
        <v>545</v>
      </c>
    </row>
    <row r="141" customFormat="false" ht="15" hidden="false" customHeight="true" outlineLevel="0" collapsed="false">
      <c r="A141" s="13" t="s">
        <v>551</v>
      </c>
      <c r="B141" s="51" t="n">
        <f aca="false">IF(OR($B$35=1,$B$35=2,$B$35=3),0,1)</f>
        <v>0</v>
      </c>
      <c r="C141" s="6"/>
    </row>
    <row r="142" customFormat="false" ht="15" hidden="false" customHeight="true" outlineLevel="0" collapsed="false">
      <c r="A142" s="13" t="s">
        <v>552</v>
      </c>
      <c r="B142" s="51" t="n">
        <f aca="false">IF($B$18&lt;=0,1,0)</f>
        <v>0</v>
      </c>
      <c r="C142" s="6"/>
    </row>
    <row r="143" customFormat="false" ht="15" hidden="false" customHeight="true" outlineLevel="0" collapsed="false">
      <c r="A143" s="13" t="s">
        <v>553</v>
      </c>
      <c r="B143" s="51" t="n">
        <f aca="false">IF(OR($B$32&lt;1,INT($B$32)&lt;&gt;$B$32),1,0)</f>
        <v>0</v>
      </c>
      <c r="C143" s="6" t="s">
        <v>554</v>
      </c>
    </row>
    <row r="144" customFormat="false" ht="15" hidden="false" customHeight="true" outlineLevel="0" collapsed="false">
      <c r="A144" s="13" t="s">
        <v>555</v>
      </c>
      <c r="B144" s="51" t="n">
        <f aca="false">SUMPRODUCT((Inputs!$B$81:$D$81&lt;0)+(Inputs!$B$86:$D$101&lt;0))+SUMPRODUCT((Inputs!$G$81:$U$81&lt;0)+(Inputs!$G$86:$U$101&lt;0))</f>
        <v>0</v>
      </c>
      <c r="C144" s="6" t="s">
        <v>556</v>
      </c>
    </row>
    <row r="145" customFormat="false" ht="15" hidden="false" customHeight="true" outlineLevel="0" collapsed="false">
      <c r="A145" s="13" t="s">
        <v>557</v>
      </c>
      <c r="B145" s="51" t="n">
        <f aca="false">SUMPRODUCT(--(Inputs!$B$90:$D$93&gt;Inputs!$B$86:$D$89))+SUMPRODUCT(--(Inputs!$G$90:$U$93&gt;Inputs!$G$86:$U$89))</f>
        <v>0</v>
      </c>
      <c r="C145" s="6" t="s">
        <v>558</v>
      </c>
    </row>
    <row r="146" customFormat="false" ht="15" hidden="false" customHeight="true" outlineLevel="0" collapsed="false">
      <c r="A146" s="13" t="s">
        <v>559</v>
      </c>
      <c r="B146" s="51" t="n">
        <f aca="false">SUMPRODUCT((Inputs!$B$77:$D$80&lt;=-1)+(Inputs!$B$82:$D$85&lt;=-1))+SUMPRODUCT((Inputs!$G$77:$U$80&lt;=-1)+(Inputs!$G$82:$U$85&lt;=-1))</f>
        <v>0</v>
      </c>
      <c r="C146" s="6" t="s">
        <v>560</v>
      </c>
    </row>
    <row r="147" customFormat="false" ht="15" hidden="false" customHeight="true" outlineLevel="0" collapsed="false">
      <c r="A147" s="13" t="s">
        <v>561</v>
      </c>
      <c r="B147" s="51" t="n">
        <f aca="false">SUMPRODUCT((Inputs!$B$75:$D$75&lt;0)+(Inputs!$B$107:$D$107&lt;0)+(Inputs!$B$76:$D$76&lt;0)+(Inputs!$B$76:$D$76&gt;1))+SUMPRODUCT((Inputs!$G$75:$U$75&lt;0)+(Inputs!$G$107:$U$107&lt;0))</f>
        <v>0</v>
      </c>
      <c r="C147" s="6"/>
    </row>
    <row r="148" customFormat="false" ht="15" hidden="false" customHeight="true" outlineLevel="0" collapsed="false">
      <c r="A148" s="13" t="s">
        <v>562</v>
      </c>
      <c r="B148" s="51" t="n">
        <f aca="false">SUMPRODUCT(($B$125:$D$125&lt;0)+($B$126:$D$126&lt;0)+($B$127:$D$127&lt;0)+($B$122:$D$122&lt;0))</f>
        <v>0</v>
      </c>
      <c r="C148" s="6"/>
    </row>
    <row r="149" customFormat="false" ht="15" hidden="false" customHeight="true" outlineLevel="0" collapsed="false">
      <c r="A149" s="13" t="s">
        <v>563</v>
      </c>
      <c r="B149" s="51" t="n">
        <f aca="false">SUMPRODUCT(--($B$67:$F$67&lt;0))+IF($B$36&lt;0,1,0)</f>
        <v>0</v>
      </c>
      <c r="C149" s="6"/>
    </row>
    <row r="150" customFormat="false" ht="15" hidden="false" customHeight="true" outlineLevel="0" collapsed="false">
      <c r="A150" s="13" t="s">
        <v>564</v>
      </c>
      <c r="B150" s="51" t="n">
        <f aca="false">IF(OR($B$39&lt;0,$B$39&gt;1,$B$40&lt;1,$B$34&lt;0,$B$29&lt;0),1,0)</f>
        <v>0</v>
      </c>
      <c r="C150" s="6"/>
    </row>
    <row r="151" customFormat="false" ht="15" hidden="false" customHeight="true" outlineLevel="0" collapsed="false">
      <c r="A151" s="13" t="s">
        <v>565</v>
      </c>
      <c r="B151" s="51" t="n">
        <f aca="false">IF(OR($B$45&gt;$B$42,$B$44&gt;$B$43,$B$43&gt;$B$42,$B$50&gt;$B$44,$B$50&gt;$B$45,$B$70&lt;0,$B$46&lt;0,$B$46&gt;1,$B$47&lt;0,ABS($B$71)&gt;100),1,0)</f>
        <v>0</v>
      </c>
      <c r="C151" s="6" t="s">
        <v>566</v>
      </c>
    </row>
    <row r="152" customFormat="false" ht="15" hidden="false" customHeight="true" outlineLevel="0" collapsed="false">
      <c r="A152" s="13" t="s">
        <v>567</v>
      </c>
      <c r="B152" s="51" t="n">
        <f aca="false">SUMPRODUCT(--(ABS($B$109:$D$109+$B$110:$D$110+$B$111:$D$111+$B$112:$D$112-1)&gt;0.0005))+SUMPRODUCT(--(ABS($G$109:$U$109+$G$110:$U$110+$G$111:$U$111+$G$112:$U$112-1)&gt;0.0005))+SUMPRODUCT(($B$109:$D$112&lt;0)+($B$109:$D$112&gt;1))+SUMPRODUCT(($G$109:$U$112&lt;0)+($G$109:$U$112&gt;1))</f>
        <v>0</v>
      </c>
      <c r="C152" s="6" t="s">
        <v>545</v>
      </c>
    </row>
    <row r="153" customFormat="false" ht="15" hidden="false" customHeight="true" outlineLevel="0" collapsed="false">
      <c r="A153" s="13" t="s">
        <v>568</v>
      </c>
      <c r="B153" s="51" t="n">
        <f aca="false">SUMPRODUCT(($B$108:$D$108&lt;0)+($B$108:$D$108&gt;1))+SUMPRODUCT(($G$108:$U$108&lt;0)+($G$108:$U$108&gt;1))</f>
        <v>0</v>
      </c>
      <c r="C153" s="6" t="s">
        <v>545</v>
      </c>
    </row>
    <row r="154" customFormat="false" ht="15" hidden="false" customHeight="true" outlineLevel="0" collapsed="false">
      <c r="A154" s="13" t="s">
        <v>569</v>
      </c>
      <c r="B154" s="51" t="n">
        <f aca="false">IF(OR($B$11&lt;0,$B$52&lt;0,$B$13&lt;0,$B$14&lt;0,$B$16&lt;0,$B$15&lt;0,$B$17&lt;0,$B$10&lt;0,$B$10&gt;1,$B$12&lt;0,$B$12&gt;1),1,0)</f>
        <v>0</v>
      </c>
      <c r="C154" s="6"/>
    </row>
    <row r="155" customFormat="false" ht="15" hidden="false" customHeight="true" outlineLevel="0" collapsed="false">
      <c r="A155" s="10" t="s">
        <v>570</v>
      </c>
      <c r="B155" s="52" t="n">
        <f aca="false">SUM(B130:B154)</f>
        <v>0</v>
      </c>
      <c r="C155" s="7" t="str">
        <f aca="false">IF(B155=0,"All input checks passed","CHECK INPUTS: results may be invalid")</f>
        <v>All input checks passed</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571</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Historicals!F35+(Inputs!$B$5+Inputs!$B$75)</f>
        <v>51742</v>
      </c>
      <c r="D5" s="35" t="n">
        <f aca="false">C5*(1+Inputs!$B$77)</f>
        <v>82787.2</v>
      </c>
      <c r="E5" s="35" t="n">
        <f aca="false">D5*(1+Inputs!$B$78)</f>
        <v>107623.36</v>
      </c>
      <c r="F5" s="35" t="n">
        <f aca="false">E5*(1+Inputs!$B$79)</f>
        <v>129148.032</v>
      </c>
      <c r="G5" s="35" t="n">
        <f aca="false">F5*(1+Inputs!$B$80)</f>
        <v>148520.2368</v>
      </c>
    </row>
    <row r="6" customFormat="false" ht="15" hidden="false" customHeight="true" outlineLevel="0" collapsed="false">
      <c r="A6" s="13" t="s">
        <v>580</v>
      </c>
      <c r="C6" s="16" t="n">
        <f aca="false">IFERROR(C5/B5-1,0)</f>
        <v>10.2850599781898</v>
      </c>
      <c r="D6" s="16" t="n">
        <f aca="false">IFERROR(D5/C5-1,0)</f>
        <v>0.6</v>
      </c>
      <c r="E6" s="16" t="n">
        <f aca="false">IFERROR(E5/D5-1,0)</f>
        <v>0.3</v>
      </c>
      <c r="F6" s="16" t="n">
        <f aca="false">IFERROR(F5/E5-1,0)</f>
        <v>0.2</v>
      </c>
      <c r="G6" s="16" t="n">
        <f aca="false">IFERROR(G5/F5-1,0)</f>
        <v>0.15</v>
      </c>
    </row>
    <row r="7" customFormat="false" ht="15" hidden="false" customHeight="true" outlineLevel="0" collapsed="false">
      <c r="A7" s="13" t="s">
        <v>581</v>
      </c>
      <c r="B7" s="41" t="n">
        <f aca="false">Historicals!D51</f>
        <v>789</v>
      </c>
      <c r="C7" s="35" t="n">
        <f aca="false">Historicals!F51+(Inputs!$B$5+Inputs!$B$75)*Historicals!F51/Historicals!F35</f>
        <v>10236.5666216382</v>
      </c>
      <c r="D7" s="35" t="n">
        <f aca="false">D5*Inputs!$B$76</f>
        <v>18213.184</v>
      </c>
      <c r="E7" s="35" t="n">
        <f aca="false">E5*Inputs!$B$76</f>
        <v>23677.1392</v>
      </c>
      <c r="F7" s="35" t="n">
        <f aca="false">F5*Inputs!$B$76</f>
        <v>28412.56704</v>
      </c>
      <c r="G7" s="35" t="n">
        <f aca="false">G5*Inputs!$B$76</f>
        <v>32674.452096</v>
      </c>
    </row>
    <row r="8" customFormat="false" ht="15" hidden="false" customHeight="true" outlineLevel="0" collapsed="false">
      <c r="A8" s="13" t="s">
        <v>582</v>
      </c>
      <c r="B8" s="35" t="n">
        <f aca="false">B5-B7</f>
        <v>3796</v>
      </c>
      <c r="C8" s="35" t="n">
        <f aca="false">C5-C7</f>
        <v>41505.4333783618</v>
      </c>
      <c r="D8" s="35" t="n">
        <f aca="false">D5-D7</f>
        <v>64574.016</v>
      </c>
      <c r="E8" s="35" t="n">
        <f aca="false">E5-E7</f>
        <v>83946.2208</v>
      </c>
      <c r="F8" s="35" t="n">
        <f aca="false">F5-F7</f>
        <v>100735.46496</v>
      </c>
      <c r="G8" s="35" t="n">
        <f aca="false">G5-G7</f>
        <v>115845.784704</v>
      </c>
    </row>
    <row r="9" customFormat="false" ht="15" hidden="false" customHeight="true" outlineLevel="0" collapsed="false">
      <c r="A9" s="13" t="s">
        <v>583</v>
      </c>
      <c r="C9" s="35" t="n">
        <f aca="false">Historicals!F36+Historicals!H6+Inputs!$B$75*Inputs!$B$81</f>
        <v>28058</v>
      </c>
      <c r="D9" s="35" t="n">
        <f aca="false">(C9-Inputs!$B$113)*(1+Inputs!$B$82)</f>
        <v>44892.8</v>
      </c>
      <c r="E9" s="35" t="n">
        <f aca="false">D9*(1+Inputs!$B$83)</f>
        <v>58360.64</v>
      </c>
      <c r="F9" s="35" t="n">
        <f aca="false">E9*(1+Inputs!$B$84)</f>
        <v>70032.768</v>
      </c>
      <c r="G9" s="35" t="n">
        <f aca="false">F9*(1+Inputs!$B$85)</f>
        <v>80537.6832</v>
      </c>
    </row>
    <row r="10" customFormat="false" ht="15" hidden="false" customHeight="true" outlineLevel="0" collapsed="false">
      <c r="A10" s="13" t="s">
        <v>219</v>
      </c>
      <c r="B10" s="41" t="n">
        <f aca="false">Historicals!D36</f>
        <v>7326</v>
      </c>
      <c r="C10" s="35" t="n">
        <f aca="false">Historicals!F36+Historicals!H6+MAX(Inputs!$B$75*Inputs!$B$81,Inputs!$B$108*C22)</f>
        <v>28058</v>
      </c>
      <c r="D10" s="35" t="n">
        <f aca="false">MAX(D9,Inputs!$B$108*D22)</f>
        <v>44892.8</v>
      </c>
      <c r="E10" s="35" t="n">
        <f aca="false">MAX(E9,Inputs!$B$108*E22)</f>
        <v>58360.64</v>
      </c>
      <c r="F10" s="35" t="n">
        <f aca="false">MAX(F9,Inputs!$B$108*F22)</f>
        <v>70032.768</v>
      </c>
      <c r="G10" s="35" t="n">
        <f aca="false">MAX(G9,Inputs!$B$108*G22)</f>
        <v>80537.6832</v>
      </c>
    </row>
    <row r="11" customFormat="false" ht="15" hidden="false" customHeight="true" outlineLevel="0" collapsed="false">
      <c r="A11" s="13" t="s">
        <v>220</v>
      </c>
      <c r="B11" s="41" t="n">
        <f aca="false">Historicals!D37</f>
        <v>1839</v>
      </c>
      <c r="C11" s="35" t="n">
        <f aca="false">Historicals!F37+Historicals!H7+Inputs!$B$75*Historicals!H24</f>
        <v>6729.80231186601</v>
      </c>
      <c r="D11" s="35" t="n">
        <f aca="false">D5*Inputs!$B$86</f>
        <v>13245.952</v>
      </c>
      <c r="E11" s="35" t="n">
        <f aca="false">E5*Inputs!$B$87</f>
        <v>16143.504</v>
      </c>
      <c r="F11" s="35" t="n">
        <f aca="false">F5*Inputs!$B$88</f>
        <v>18080.72448</v>
      </c>
      <c r="G11" s="35" t="n">
        <f aca="false">G5*Inputs!$B$89</f>
        <v>19307.630784</v>
      </c>
    </row>
    <row r="12" customFormat="false" ht="15" hidden="false" customHeight="true" outlineLevel="0" collapsed="false">
      <c r="A12" s="13" t="s">
        <v>584</v>
      </c>
      <c r="B12" s="41" t="n">
        <f aca="false">Historicals!D49</f>
        <v>1158</v>
      </c>
      <c r="C12" s="35" t="n">
        <f aca="false">Historicals!F49+Historicals!H19+Inputs!$B$75*Historicals!H29</f>
        <v>4422.4333569238</v>
      </c>
      <c r="D12" s="35" t="n">
        <f aca="false">D5*Inputs!$B$90</f>
        <v>8278.72</v>
      </c>
      <c r="E12" s="35" t="n">
        <f aca="false">E5*Inputs!$B$91</f>
        <v>9686.1024</v>
      </c>
      <c r="F12" s="35" t="n">
        <f aca="false">F5*Inputs!$B$92</f>
        <v>10331.84256</v>
      </c>
      <c r="G12" s="35" t="n">
        <f aca="false">G5*Inputs!$B$93</f>
        <v>10396.416576</v>
      </c>
    </row>
    <row r="13" customFormat="false" ht="15" hidden="false" customHeight="true" outlineLevel="0" collapsed="false">
      <c r="A13" s="13" t="s">
        <v>585</v>
      </c>
      <c r="B13" s="41" t="n">
        <f aca="false">Historicals!D39</f>
        <v>568</v>
      </c>
      <c r="C13" s="35" t="n">
        <f aca="false">Historicals!F39+Historicals!H9+Inputs!$B$75*Historicals!H25</f>
        <v>8104.99079971691</v>
      </c>
      <c r="D13" s="35" t="n">
        <f aca="false">D5*Inputs!$B$94</f>
        <v>14901.696</v>
      </c>
      <c r="E13" s="35" t="n">
        <f aca="false">E5*Inputs!$B$95</f>
        <v>18295.9712</v>
      </c>
      <c r="F13" s="35" t="n">
        <f aca="false">F5*Inputs!$B$96</f>
        <v>20663.68512</v>
      </c>
      <c r="G13" s="35" t="n">
        <f aca="false">G5*Inputs!$B$97</f>
        <v>23763.237888</v>
      </c>
    </row>
    <row r="14" customFormat="false" ht="15" hidden="false" customHeight="true" outlineLevel="0" collapsed="false">
      <c r="A14" s="13" t="s">
        <v>586</v>
      </c>
      <c r="B14" s="41" t="n">
        <f aca="false">Historicals!D40</f>
        <v>1412</v>
      </c>
      <c r="C14" s="35" t="n">
        <f aca="false">Historicals!F40+Historicals!H10-Inputs!$B$37+Inputs!$B$75*(Historicals!H10-Inputs!$B$37)/Historicals!H5</f>
        <v>5118.24439726351</v>
      </c>
      <c r="D14" s="35" t="n">
        <f aca="false">D5*Inputs!$B$98</f>
        <v>7450.848</v>
      </c>
      <c r="E14" s="35" t="n">
        <f aca="false">E5*Inputs!$B$99</f>
        <v>8609.8688</v>
      </c>
      <c r="F14" s="35" t="n">
        <f aca="false">F5*Inputs!$B$100</f>
        <v>9040.36224</v>
      </c>
      <c r="G14" s="35" t="n">
        <f aca="false">G5*Inputs!$B$101</f>
        <v>10396.416576</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49971.0375088464</v>
      </c>
      <c r="D16" s="36" t="n">
        <f aca="false">D10+D11+D13+D14+D15</f>
        <v>80491.296</v>
      </c>
      <c r="E16" s="36" t="n">
        <f aca="false">E10+E11+E13+E14+E15</f>
        <v>101409.984</v>
      </c>
      <c r="F16" s="36" t="n">
        <f aca="false">F10+F11+F13+F14+F15</f>
        <v>117817.53984</v>
      </c>
      <c r="G16" s="36" t="n">
        <f aca="false">G10+G11+G13+G14+G15</f>
        <v>134004.968448</v>
      </c>
    </row>
    <row r="17" customFormat="false" ht="15" hidden="false" customHeight="true" outlineLevel="0" collapsed="false">
      <c r="A17" s="10" t="s">
        <v>588</v>
      </c>
      <c r="B17" s="34" t="n">
        <f aca="false">B5-B16</f>
        <v>-8060</v>
      </c>
      <c r="C17" s="34" t="n">
        <f aca="false">C5-C16</f>
        <v>1770.96249115357</v>
      </c>
      <c r="D17" s="34" t="n">
        <f aca="false">D5-D16</f>
        <v>2295.90400000001</v>
      </c>
      <c r="E17" s="34" t="n">
        <f aca="false">E5-E16</f>
        <v>6213.37600000002</v>
      </c>
      <c r="F17" s="34" t="n">
        <f aca="false">F5-F16</f>
        <v>11330.49216</v>
      </c>
      <c r="G17" s="34" t="n">
        <f aca="false">G5-G16</f>
        <v>14515.268352</v>
      </c>
    </row>
    <row r="18" customFormat="false" ht="15" hidden="false" customHeight="true" outlineLevel="0" collapsed="false">
      <c r="A18" s="13" t="s">
        <v>589</v>
      </c>
      <c r="B18" s="16" t="n">
        <f aca="false">IFERROR(B17/B5,0)</f>
        <v>-1.75790621592148</v>
      </c>
      <c r="C18" s="16" t="n">
        <f aca="false">IFERROR(C17/C5,0)</f>
        <v>0.0342267885113365</v>
      </c>
      <c r="D18" s="16" t="n">
        <f aca="false">IFERROR(D17/D5,0)</f>
        <v>0.0277325963433962</v>
      </c>
      <c r="E18" s="16" t="n">
        <f aca="false">IFERROR(E17/E5,0)</f>
        <v>0.0577325963433962</v>
      </c>
      <c r="F18" s="16" t="n">
        <f aca="false">IFERROR(F17/F5,0)</f>
        <v>0.0877325963433959</v>
      </c>
      <c r="G18" s="16" t="n">
        <f aca="false">IFERROR(G17/G5,0)</f>
        <v>0.097732596343396</v>
      </c>
    </row>
    <row r="19" customFormat="false" ht="15" hidden="false" customHeight="true" outlineLevel="0" collapsed="false">
      <c r="A19" s="13" t="s">
        <v>590</v>
      </c>
      <c r="B19" s="16" t="n">
        <f aca="false">IFERROR(B10/B5,0)</f>
        <v>1.59781897491821</v>
      </c>
      <c r="C19" s="16" t="n">
        <f aca="false">IFERROR(C10/C5,0)</f>
        <v>0.542267403656604</v>
      </c>
      <c r="D19" s="16" t="n">
        <f aca="false">IFERROR(D10/D5,0)</f>
        <v>0.542267403656604</v>
      </c>
      <c r="E19" s="16" t="n">
        <f aca="false">IFERROR(E10/E5,0)</f>
        <v>0.542267403656604</v>
      </c>
      <c r="F19" s="16" t="n">
        <f aca="false">IFERROR(F10/F5,0)</f>
        <v>0.542267403656604</v>
      </c>
      <c r="G19" s="16" t="n">
        <f aca="false">IFERROR(G10/G5,0)</f>
        <v>0.542267403656604</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1/(1+Inputs!$B$19+Inputs!$B$104)^1</f>
        <v>0.892857142857143</v>
      </c>
      <c r="E21" s="53" t="n">
        <f aca="false">1/(1+Inputs!$B$19+Inputs!$B$104)^2</f>
        <v>0.79719387755102</v>
      </c>
      <c r="F21" s="53" t="n">
        <f aca="false">1/(1+Inputs!$B$19+Inputs!$B$104)^3</f>
        <v>0.711780247813411</v>
      </c>
      <c r="G21" s="53" t="n">
        <f aca="false">1/(1+Inputs!$B$19+Inputs!$B$104)^4</f>
        <v>0.635518078404831</v>
      </c>
    </row>
    <row r="22" customFormat="false" ht="15" hidden="false" customHeight="true" outlineLevel="0" collapsed="false">
      <c r="A22" s="13" t="s">
        <v>593</v>
      </c>
      <c r="C22" s="35" t="n">
        <f aca="false">Inputs!B$69+Inputs!$B$47*Inputs!$B$46</f>
        <v>11231</v>
      </c>
      <c r="D22" s="35" t="n">
        <f aca="false">Inputs!C$69+Inputs!$B$47*(1-Inputs!$B$46)+Inputs!$B$70*Inputs!$B$109</f>
        <v>97550</v>
      </c>
      <c r="E22" s="35" t="n">
        <f aca="false">Inputs!D$69+Inputs!$B$70*Inputs!$B$110</f>
        <v>107338.25</v>
      </c>
      <c r="F22" s="35" t="n">
        <f aca="false">Inputs!E$69+Inputs!$B$70*Inputs!$B$111</f>
        <v>117031.375</v>
      </c>
      <c r="G22" s="35" t="n">
        <f aca="false">Inputs!F$69+Inputs!$B$70*Inputs!$B$112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Inputs!$B$118</f>
        <v>0.005</v>
      </c>
      <c r="E24" s="19" t="n">
        <f aca="false">Inputs!$B$119</f>
        <v>0.015</v>
      </c>
      <c r="F24" s="19" t="n">
        <f aca="false">Inputs!$B$120</f>
        <v>0.03</v>
      </c>
      <c r="G24" s="19" t="n">
        <f aca="false">Inputs!$B$121</f>
        <v>0.05</v>
      </c>
    </row>
    <row r="25" customFormat="false" ht="15" hidden="false" customHeight="true" outlineLevel="0" collapsed="false">
      <c r="A25" s="13" t="s">
        <v>596</v>
      </c>
      <c r="C25" s="35" t="n">
        <f aca="false">C5*C24</f>
        <v>0</v>
      </c>
      <c r="D25" s="35" t="n">
        <f aca="false">D5*D24</f>
        <v>413.936</v>
      </c>
      <c r="E25" s="35" t="n">
        <f aca="false">E5*E24</f>
        <v>1614.3504</v>
      </c>
      <c r="F25" s="35" t="n">
        <f aca="false">F5*F24</f>
        <v>3874.44096</v>
      </c>
      <c r="G25" s="35" t="n">
        <f aca="false">G5*G24</f>
        <v>7426.01184</v>
      </c>
    </row>
    <row r="26" customFormat="false" ht="15" hidden="false" customHeight="true" outlineLevel="0" collapsed="false">
      <c r="A26" s="13" t="s">
        <v>597</v>
      </c>
      <c r="C26" s="54" t="n">
        <f aca="false">Inputs!$B$122</f>
        <v>4</v>
      </c>
      <c r="D26" s="54" t="n">
        <f aca="false">Inputs!$B$122</f>
        <v>4</v>
      </c>
      <c r="E26" s="54" t="n">
        <f aca="false">Inputs!$B$122</f>
        <v>4</v>
      </c>
      <c r="F26" s="54" t="n">
        <f aca="false">Inputs!$B$122</f>
        <v>4</v>
      </c>
      <c r="G26" s="54" t="n">
        <f aca="false">Inputs!$B$122</f>
        <v>4</v>
      </c>
    </row>
    <row r="27" customFormat="false" ht="15" hidden="false" customHeight="true" outlineLevel="0" collapsed="false">
      <c r="A27" s="13" t="s">
        <v>598</v>
      </c>
      <c r="C27" s="35" t="n">
        <f aca="false">C25*C26</f>
        <v>0</v>
      </c>
      <c r="D27" s="35" t="n">
        <f aca="false">D25*D26</f>
        <v>1655.744</v>
      </c>
      <c r="E27" s="35" t="n">
        <f aca="false">E25*E26</f>
        <v>6457.4016</v>
      </c>
      <c r="F27" s="35" t="n">
        <f aca="false">F25*F26</f>
        <v>15497.76384</v>
      </c>
      <c r="G27" s="35" t="n">
        <f aca="false">G25*G26</f>
        <v>29704.04736</v>
      </c>
    </row>
    <row r="28" customFormat="false" ht="15" hidden="false" customHeight="true" outlineLevel="0" collapsed="false">
      <c r="A28" s="13" t="s">
        <v>599</v>
      </c>
      <c r="C28" s="19" t="n">
        <f aca="false">Inputs!$B$123</f>
        <v>0.1</v>
      </c>
      <c r="D28" s="19" t="n">
        <f aca="false">Inputs!$B$123</f>
        <v>0.1</v>
      </c>
      <c r="E28" s="19" t="n">
        <f aca="false">Inputs!$B$123</f>
        <v>0.1</v>
      </c>
      <c r="F28" s="19" t="n">
        <f aca="false">Inputs!$B$123</f>
        <v>0.1</v>
      </c>
      <c r="G28" s="19" t="n">
        <f aca="false">Inputs!$B$123</f>
        <v>0.1</v>
      </c>
    </row>
    <row r="29" customFormat="false" ht="15" hidden="false" customHeight="true" outlineLevel="0" collapsed="false">
      <c r="A29" s="10" t="s">
        <v>600</v>
      </c>
      <c r="C29" s="36" t="n">
        <f aca="false">C27*C28</f>
        <v>0</v>
      </c>
      <c r="D29" s="36" t="n">
        <f aca="false">D27*D28</f>
        <v>165.5744</v>
      </c>
      <c r="E29" s="36" t="n">
        <f aca="false">E27*E28</f>
        <v>645.74016</v>
      </c>
      <c r="F29" s="36" t="n">
        <f aca="false">F27*F28</f>
        <v>1549.776384</v>
      </c>
      <c r="G29" s="36" t="n">
        <f aca="false">G27*G28</f>
        <v>2970.404736</v>
      </c>
    </row>
    <row r="30" customFormat="false" ht="15" hidden="false" customHeight="true" outlineLevel="0" collapsed="false">
      <c r="A30" s="13" t="s">
        <v>601</v>
      </c>
      <c r="C30" s="35" t="n">
        <f aca="false">C25*Inputs!$B$124</f>
        <v>0</v>
      </c>
      <c r="D30" s="35" t="n">
        <f aca="false">D25*Inputs!$B$124</f>
        <v>206.968</v>
      </c>
      <c r="E30" s="35" t="n">
        <f aca="false">E25*Inputs!$B$124</f>
        <v>807.1752</v>
      </c>
      <c r="F30" s="35" t="n">
        <f aca="false">F25*Inputs!$B$124</f>
        <v>1937.22048</v>
      </c>
      <c r="G30" s="35" t="n">
        <f aca="false">G25*Inputs!$B$124</f>
        <v>3713.00592</v>
      </c>
    </row>
    <row r="31" customFormat="false" ht="15" hidden="false" customHeight="true" outlineLevel="0" collapsed="false">
      <c r="A31" s="13" t="s">
        <v>602</v>
      </c>
      <c r="C31" s="35" t="n">
        <f aca="false">C29-C30</f>
        <v>0</v>
      </c>
      <c r="D31" s="35" t="n">
        <f aca="false">D29-D30</f>
        <v>-41.3936</v>
      </c>
      <c r="E31" s="35" t="n">
        <f aca="false">E29-E30</f>
        <v>-161.43504</v>
      </c>
      <c r="F31" s="35" t="n">
        <f aca="false">F29-F30</f>
        <v>-387.444096</v>
      </c>
      <c r="G31" s="35" t="n">
        <f aca="false">G29-G30</f>
        <v>-742.601184</v>
      </c>
    </row>
    <row r="32" customFormat="false" ht="15" hidden="false" customHeight="true" outlineLevel="0" collapsed="false">
      <c r="A32" s="13" t="s">
        <v>603</v>
      </c>
      <c r="C32" s="35" t="n">
        <f aca="false">C29*Inputs!$B$125</f>
        <v>0</v>
      </c>
      <c r="D32" s="35" t="n">
        <f aca="false">D29*Inputs!$B$125</f>
        <v>49.67232</v>
      </c>
      <c r="E32" s="35" t="n">
        <f aca="false">E29*Inputs!$B$125</f>
        <v>193.722048</v>
      </c>
      <c r="F32" s="35" t="n">
        <f aca="false">F29*Inputs!$B$125</f>
        <v>464.9329152</v>
      </c>
      <c r="G32" s="35" t="n">
        <f aca="false">G29*Inputs!$B$125</f>
        <v>891.1214208</v>
      </c>
    </row>
    <row r="33" customFormat="false" ht="15" hidden="false" customHeight="true" outlineLevel="0" collapsed="false">
      <c r="A33" s="13" t="s">
        <v>604</v>
      </c>
      <c r="C33" s="35" t="n">
        <f aca="false">C29*Inputs!$B$126</f>
        <v>0</v>
      </c>
      <c r="D33" s="35" t="n">
        <f aca="false">D29*Inputs!$B$126</f>
        <v>41.3936</v>
      </c>
      <c r="E33" s="35" t="n">
        <f aca="false">E29*Inputs!$B$126</f>
        <v>161.43504</v>
      </c>
      <c r="F33" s="35" t="n">
        <f aca="false">F29*Inputs!$B$126</f>
        <v>387.444096</v>
      </c>
      <c r="G33" s="35" t="n">
        <f aca="false">G29*Inputs!$B$126</f>
        <v>742.601184</v>
      </c>
    </row>
    <row r="34" customFormat="false" ht="15" hidden="false" customHeight="true" outlineLevel="0" collapsed="false">
      <c r="A34" s="13" t="s">
        <v>605</v>
      </c>
      <c r="C34" s="35" t="n">
        <f aca="false">C29*Inputs!$B$127</f>
        <v>0</v>
      </c>
      <c r="D34" s="35" t="n">
        <f aca="false">D29*Inputs!$B$127</f>
        <v>24.83616</v>
      </c>
      <c r="E34" s="35" t="n">
        <f aca="false">E29*Inputs!$B$127</f>
        <v>96.861024</v>
      </c>
      <c r="F34" s="35" t="n">
        <f aca="false">F29*Inputs!$B$127</f>
        <v>232.4664576</v>
      </c>
      <c r="G34" s="35" t="n">
        <f aca="false">G29*Inputs!$B$127</f>
        <v>445.5607104</v>
      </c>
    </row>
    <row r="35" customFormat="false" ht="15" hidden="false" customHeight="true" outlineLevel="0" collapsed="false">
      <c r="A35" s="10" t="s">
        <v>606</v>
      </c>
      <c r="C35" s="34" t="n">
        <f aca="false">C29-C30-C32-C33-C34</f>
        <v>0</v>
      </c>
      <c r="D35" s="34" t="n">
        <f aca="false">D29-D30-D32-D33-D34</f>
        <v>-157.29568</v>
      </c>
      <c r="E35" s="34" t="n">
        <f aca="false">E29-E30-E32-E33-E34</f>
        <v>-613.453152</v>
      </c>
      <c r="F35" s="34" t="n">
        <f aca="false">F29-F30-F32-F33-F34</f>
        <v>-1472.2875648</v>
      </c>
      <c r="G35" s="34" t="n">
        <f aca="false">G29-G30-G32-G33-G34</f>
        <v>-2821.8844992</v>
      </c>
    </row>
    <row r="36" customFormat="false" ht="15" hidden="false" customHeight="true" outlineLevel="0" collapsed="false">
      <c r="A36" s="13" t="s">
        <v>92</v>
      </c>
      <c r="C36" s="55" t="n">
        <f aca="false">IFERROR(C27/Inputs!$B$27,0)</f>
        <v>0</v>
      </c>
      <c r="D36" s="55" t="n">
        <f aca="false">IFERROR(D27/Inputs!$B$27,0)</f>
        <v>4.13936E-005</v>
      </c>
      <c r="E36" s="55" t="n">
        <f aca="false">IFERROR(E27/Inputs!$B$27,0)</f>
        <v>0.00016143504</v>
      </c>
      <c r="F36" s="55" t="n">
        <f aca="false">IFERROR(F27/Inputs!$B$27,0)</f>
        <v>0.000387444096</v>
      </c>
      <c r="G36" s="55" t="n">
        <f aca="false">IFERROR(G27/Inputs!$B$27,0)</f>
        <v>0.000742601184</v>
      </c>
    </row>
    <row r="37" customFormat="false" ht="15" hidden="false" customHeight="true" outlineLevel="0" collapsed="false">
      <c r="A37" s="13" t="s">
        <v>607</v>
      </c>
      <c r="C37" s="35" t="n">
        <f aca="false">CHOOSE(Inputs!$B$35,C31*Inputs!B$67,C29*Inputs!$B$36,0)</f>
        <v>0</v>
      </c>
      <c r="D37" s="35" t="n">
        <f aca="false">CHOOSE(Inputs!$B$35,D31*Inputs!C$67,D29*Inputs!$B$36,0)</f>
        <v>-1.655744</v>
      </c>
      <c r="E37" s="35" t="n">
        <f aca="false">CHOOSE(Inputs!$B$35,E31*Inputs!D$67,E29*Inputs!$B$36,0)</f>
        <v>-8.071752</v>
      </c>
      <c r="F37" s="35" t="n">
        <f aca="false">CHOOSE(Inputs!$B$35,F31*Inputs!E$67,F29*Inputs!$B$36,0)</f>
        <v>-19.3722048</v>
      </c>
      <c r="G37" s="35" t="n">
        <f aca="false">CHOOSE(Inputs!$B$35,G31*Inputs!F$67,G29*Inputs!$B$36,0)</f>
        <v>-37.1300592</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Inputs!$B$107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28058</v>
      </c>
      <c r="D44" s="35" t="n">
        <f aca="false">D10*Inputs!$B$39</f>
        <v>44892.8</v>
      </c>
      <c r="E44" s="35" t="n">
        <f aca="false">E10*Inputs!$B$39</f>
        <v>58360.64</v>
      </c>
      <c r="F44" s="35" t="n">
        <f aca="false">F10*Inputs!$B$39</f>
        <v>70032.768</v>
      </c>
      <c r="G44" s="35" t="n">
        <f aca="false">G10*Inputs!$B$39</f>
        <v>80537.6832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51742</v>
      </c>
      <c r="D49" s="35" t="n">
        <f aca="false">D5</f>
        <v>82787.2</v>
      </c>
      <c r="E49" s="35" t="n">
        <f aca="false">E5</f>
        <v>107623.36</v>
      </c>
      <c r="F49" s="35" t="n">
        <f aca="false">F5</f>
        <v>129148.032</v>
      </c>
      <c r="G49" s="35" t="n">
        <f aca="false">G5</f>
        <v>148520.2368</v>
      </c>
    </row>
    <row r="50" customFormat="false" ht="15" hidden="false" customHeight="true" outlineLevel="0" collapsed="false">
      <c r="A50" s="13" t="s">
        <v>588</v>
      </c>
      <c r="C50" s="35" t="n">
        <f aca="false">C17</f>
        <v>1770.96249115357</v>
      </c>
      <c r="D50" s="35" t="n">
        <f aca="false">D17</f>
        <v>2295.90400000001</v>
      </c>
      <c r="E50" s="35" t="n">
        <f aca="false">E17</f>
        <v>6213.37600000002</v>
      </c>
      <c r="F50" s="35" t="n">
        <f aca="false">F17</f>
        <v>11330.49216</v>
      </c>
      <c r="G50" s="35" t="n">
        <f aca="false">G17</f>
        <v>14515.268352</v>
      </c>
    </row>
    <row r="51" customFormat="false" ht="15" hidden="false" customHeight="true" outlineLevel="0" collapsed="false">
      <c r="A51" s="13" t="s">
        <v>617</v>
      </c>
      <c r="C51" s="35" t="n">
        <f aca="false">C5*Inputs!B$67</f>
        <v>1552.26</v>
      </c>
      <c r="D51" s="35" t="n">
        <f aca="false">D5*Inputs!C$67</f>
        <v>3311.488</v>
      </c>
      <c r="E51" s="35" t="n">
        <f aca="false">E5*Inputs!D$67</f>
        <v>5381.168</v>
      </c>
      <c r="F51" s="35" t="n">
        <f aca="false">F5*Inputs!E$67</f>
        <v>6457.4016</v>
      </c>
      <c r="G51" s="35" t="n">
        <f aca="false">G5*Inputs!F$67</f>
        <v>7426.01184</v>
      </c>
    </row>
    <row r="52" customFormat="false" ht="15" hidden="false" customHeight="true" outlineLevel="0" collapsed="false">
      <c r="A52" s="13" t="s">
        <v>618</v>
      </c>
      <c r="C52" s="33" t="n">
        <v>0</v>
      </c>
      <c r="D52" s="35" t="n">
        <f aca="false">SUMPRODUCT($D51:D51,--((4-COLUMN($D51:D51))&lt;Inputs!$B$32))/Inputs!$B$32</f>
        <v>662.2976</v>
      </c>
      <c r="E52" s="35" t="n">
        <f aca="false">SUMPRODUCT($D51:E51,--((5-COLUMN($D51:E51))&lt;Inputs!$B$32))/Inputs!$B$32</f>
        <v>1738.5312</v>
      </c>
      <c r="F52" s="35" t="n">
        <f aca="false">SUMPRODUCT($D51:F51,--((6-COLUMN($D51:F51))&lt;Inputs!$B$32))/Inputs!$B$32</f>
        <v>3030.01152</v>
      </c>
      <c r="G52" s="35" t="n">
        <f aca="false">SUMPRODUCT($D51:G51,--((7-COLUMN($D51:G51))&lt;Inputs!$B$32))/Inputs!$B$32</f>
        <v>4515.213888</v>
      </c>
    </row>
    <row r="53" customFormat="false" ht="15" hidden="false" customHeight="true" outlineLevel="0" collapsed="false">
      <c r="A53" s="10" t="s">
        <v>619</v>
      </c>
      <c r="C53" s="36" t="n">
        <f aca="false">C50-C52</f>
        <v>1770.96249115357</v>
      </c>
      <c r="D53" s="36" t="n">
        <f aca="false">D50-D52</f>
        <v>1633.60640000001</v>
      </c>
      <c r="E53" s="36" t="n">
        <f aca="false">E50-E52</f>
        <v>4474.84480000002</v>
      </c>
      <c r="F53" s="36" t="n">
        <f aca="false">F50-F52</f>
        <v>8300.48063999998</v>
      </c>
      <c r="G53" s="36" t="n">
        <f aca="false">G50-G52</f>
        <v>10000.054464</v>
      </c>
    </row>
    <row r="54" customFormat="false" ht="15" hidden="false" customHeight="true" outlineLevel="0" collapsed="false">
      <c r="A54" s="13" t="s">
        <v>620</v>
      </c>
      <c r="C54" s="16" t="n">
        <f aca="false">IFERROR(C53/C49,0)</f>
        <v>0.0342267885113365</v>
      </c>
      <c r="D54" s="16" t="n">
        <f aca="false">IFERROR(D53/D49,0)</f>
        <v>0.0197325963433962</v>
      </c>
      <c r="E54" s="16" t="n">
        <f aca="false">IFERROR(E53/E49,0)</f>
        <v>0.0415787501895501</v>
      </c>
      <c r="F54" s="16" t="n">
        <f aca="false">IFERROR(F53/F49,0)</f>
        <v>0.0642710578818575</v>
      </c>
      <c r="G54" s="16" t="n">
        <f aca="false">IFERROR(G53/G49,0)</f>
        <v>0.0673312585507538</v>
      </c>
    </row>
    <row r="55" customFormat="false" ht="15" hidden="false" customHeight="true" outlineLevel="0" collapsed="false">
      <c r="A55" s="13" t="s">
        <v>621</v>
      </c>
      <c r="C55" s="35" t="n">
        <f aca="false">Historicals!F43+Historicals!H13+C80*Inputs!$B$20/4</f>
        <v>3183.03125</v>
      </c>
      <c r="D55" s="35" t="n">
        <f aca="false">MAX(0,D80-D81)*Inputs!$B$20</f>
        <v>3406.10188393938</v>
      </c>
      <c r="E55" s="35" t="n">
        <f aca="false">MAX(0,E80-E81)*Inputs!$B$20</f>
        <v>3667.54113733972</v>
      </c>
      <c r="F55" s="35" t="n">
        <f aca="false">MAX(0,F80-F81)*Inputs!$B$20</f>
        <v>3975.14524093159</v>
      </c>
      <c r="G55" s="35" t="n">
        <f aca="false">MAX(0,G80-G81)*Inputs!$B$20</f>
        <v>4379.72660007838</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4953.99374115357</v>
      </c>
      <c r="D58" s="35" t="n">
        <f aca="false">D53+D55+D56-D57</f>
        <v>5039.70828393939</v>
      </c>
      <c r="E58" s="35" t="n">
        <f aca="false">E53+E55+E56-E57</f>
        <v>8142.38593733974</v>
      </c>
      <c r="F58" s="35" t="n">
        <f aca="false">F53+F55+F56-F57</f>
        <v>12275.6258809316</v>
      </c>
      <c r="G58" s="35" t="n">
        <f aca="false">G53+G55+G56-G57</f>
        <v>14379.7810640784</v>
      </c>
    </row>
    <row r="59" customFormat="false" ht="15" hidden="false" customHeight="true" outlineLevel="0" collapsed="false">
      <c r="A59" s="13" t="s">
        <v>625</v>
      </c>
      <c r="C59" s="35" t="n">
        <f aca="false">C58*Inputs!$B$58</f>
        <v>3566.87549363057</v>
      </c>
      <c r="D59" s="35" t="n">
        <f aca="false">D58*Inputs!$B$58</f>
        <v>3628.58996443636</v>
      </c>
      <c r="E59" s="35" t="n">
        <f aca="false">E58*Inputs!$B$58</f>
        <v>5862.51787488462</v>
      </c>
      <c r="F59" s="35" t="n">
        <f aca="false">F58*Inputs!$B$58</f>
        <v>8838.45063427073</v>
      </c>
      <c r="G59" s="35" t="n">
        <f aca="false">G58*Inputs!$B$58</f>
        <v>10353.4423661364</v>
      </c>
    </row>
    <row r="60" customFormat="false" ht="15" hidden="false" customHeight="true" outlineLevel="0" collapsed="false">
      <c r="A60" s="13" t="s">
        <v>626</v>
      </c>
      <c r="C60" s="35" t="n">
        <f aca="false">Inputs!$B$60</f>
        <v>4200</v>
      </c>
      <c r="D60" s="35" t="n">
        <f aca="false">C62</f>
        <v>4200</v>
      </c>
      <c r="E60" s="35" t="n">
        <f aca="false">D62</f>
        <v>571.410035563643</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3628.58996443636</v>
      </c>
      <c r="E61" s="35" t="n">
        <f aca="false">IF(AND(2028=2026,Inputs!$B$61=1),0,MIN(E60,MAX(0,E59)))</f>
        <v>571.410035563643</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571.410035563643</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214.012529617834</v>
      </c>
      <c r="D63" s="35" t="n">
        <f aca="false">MAX(0,D59-D61)*Inputs!$B$59</f>
        <v>0</v>
      </c>
      <c r="E63" s="35" t="n">
        <f aca="false">MAX(0,E59-E61)*Inputs!$B$59</f>
        <v>317.466470359258</v>
      </c>
      <c r="F63" s="35" t="n">
        <f aca="false">MAX(0,F59-F61)*Inputs!$B$59</f>
        <v>530.307038056244</v>
      </c>
      <c r="G63" s="35" t="n">
        <f aca="false">MAX(0,G59-G61)*Inputs!$B$59</f>
        <v>621.206541968185</v>
      </c>
    </row>
    <row r="64" customFormat="false" ht="15" hidden="false" customHeight="true" outlineLevel="0" collapsed="false">
      <c r="A64" s="13" t="s">
        <v>630</v>
      </c>
      <c r="C64" s="35" t="n">
        <f aca="false">C58-C63</f>
        <v>4739.98121153574</v>
      </c>
      <c r="D64" s="35" t="n">
        <f aca="false">D58-D63</f>
        <v>5039.70828393939</v>
      </c>
      <c r="E64" s="35" t="n">
        <f aca="false">E58-E63</f>
        <v>7824.91946698049</v>
      </c>
      <c r="F64" s="35" t="n">
        <f aca="false">F58-F63</f>
        <v>11745.3188428753</v>
      </c>
      <c r="G64" s="35" t="n">
        <f aca="false">G58-G63</f>
        <v>13758.5745221102</v>
      </c>
    </row>
    <row r="65" customFormat="false" ht="15" hidden="false" customHeight="true" outlineLevel="0" collapsed="false">
      <c r="A65" s="13" t="s">
        <v>631</v>
      </c>
      <c r="C65" s="35" t="n">
        <f aca="false">Inputs!$B$56</f>
        <v>8200</v>
      </c>
      <c r="D65" s="35" t="n">
        <f aca="false">C67</f>
        <v>4408.01503077141</v>
      </c>
      <c r="E65" s="35" t="n">
        <f aca="false">D67</f>
        <v>376.248403619901</v>
      </c>
      <c r="F65" s="35" t="n">
        <f aca="false">E67</f>
        <v>0</v>
      </c>
      <c r="G65" s="35" t="n">
        <f aca="false">F67</f>
        <v>0</v>
      </c>
    </row>
    <row r="66" customFormat="false" ht="15" hidden="false" customHeight="true" outlineLevel="0" collapsed="false">
      <c r="A66" s="13" t="s">
        <v>632</v>
      </c>
      <c r="C66" s="35" t="n">
        <f aca="false">MIN(C65,Inputs!$B$57*MAX(0,C64))</f>
        <v>3791.98496922859</v>
      </c>
      <c r="D66" s="35" t="n">
        <f aca="false">MIN(D65,Inputs!$B$57*MAX(0,D64))</f>
        <v>4031.76662715151</v>
      </c>
      <c r="E66" s="35" t="n">
        <f aca="false">MIN(E65,Inputs!$B$57*MAX(0,E64))</f>
        <v>376.248403619901</v>
      </c>
      <c r="F66" s="35" t="n">
        <f aca="false">MIN(F65,Inputs!$B$57*MAX(0,F64))</f>
        <v>0</v>
      </c>
      <c r="G66" s="35" t="n">
        <f aca="false">MIN(G65,Inputs!$B$57*MAX(0,G64))</f>
        <v>0</v>
      </c>
    </row>
    <row r="67" customFormat="false" ht="15" hidden="false" customHeight="true" outlineLevel="0" collapsed="false">
      <c r="A67" s="13" t="s">
        <v>633</v>
      </c>
      <c r="C67" s="35" t="n">
        <f aca="false">C65-C66+MAX(0,-C64)</f>
        <v>4408.01503077141</v>
      </c>
      <c r="D67" s="35" t="n">
        <f aca="false">D65-D66+MAX(0,-D64)</f>
        <v>376.248403619901</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199.079210884501</v>
      </c>
      <c r="D68" s="35" t="n">
        <f aca="false">MAX(0,D64-D66)*Inputs!$B$55</f>
        <v>211.667747925454</v>
      </c>
      <c r="E68" s="35" t="n">
        <f aca="false">MAX(0,E64-E66)*Inputs!$B$55</f>
        <v>1564.22092330572</v>
      </c>
      <c r="F68" s="35" t="n">
        <f aca="false">MAX(0,F64-F66)*Inputs!$B$55</f>
        <v>2466.51695700382</v>
      </c>
      <c r="G68" s="35" t="n">
        <f aca="false">MAX(0,G64-G66)*Inputs!$B$55</f>
        <v>2889.30064964314</v>
      </c>
    </row>
    <row r="69" customFormat="false" ht="15" hidden="false" customHeight="true" outlineLevel="0" collapsed="false">
      <c r="A69" s="10" t="s">
        <v>635</v>
      </c>
      <c r="C69" s="36" t="n">
        <f aca="false">IF(Inputs!$B$105=0,MAX(0,C53+C55)*Inputs!B$66,IF(Inputs!$B$105=2,MAX(0,C58)*Inputs!$B$106,C63+C68))</f>
        <v>413.091740502335</v>
      </c>
      <c r="D69" s="36" t="n">
        <f aca="false">IF(Inputs!$B$105=0,MAX(0,D53+D55)*Inputs!C$66,IF(Inputs!$B$105=2,MAX(0,D58)*Inputs!$B$106,D63+D68))</f>
        <v>211.667747925454</v>
      </c>
      <c r="E69" s="36" t="n">
        <f aca="false">IF(Inputs!$B$105=0,MAX(0,E53+E55)*Inputs!D$66,IF(Inputs!$B$105=2,MAX(0,E58)*Inputs!$B$106,E63+E68))</f>
        <v>1881.68739366498</v>
      </c>
      <c r="F69" s="36" t="n">
        <f aca="false">IF(Inputs!$B$105=0,MAX(0,F53+F55)*Inputs!E$66,IF(Inputs!$B$105=2,MAX(0,F58)*Inputs!$B$106,F63+F68))</f>
        <v>2996.82399506006</v>
      </c>
      <c r="G69" s="36" t="n">
        <f aca="false">IF(Inputs!$B$105=0,MAX(0,G53+G55)*Inputs!F$66,IF(Inputs!$B$105=2,MAX(0,G58)*Inputs!$B$106,G63+G68))</f>
        <v>3510.50719161132</v>
      </c>
    </row>
    <row r="70" customFormat="false" ht="15" hidden="false" customHeight="true" outlineLevel="0" collapsed="false">
      <c r="A70" s="13" t="s">
        <v>636</v>
      </c>
      <c r="C70" s="16" t="n">
        <f aca="false">IF(C58&gt;0,MIN(1,C69/C58),0)</f>
        <v>0.0833856</v>
      </c>
      <c r="D70" s="16" t="n">
        <f aca="false">IF(D58&gt;0,MIN(1,D69/D58),0)</f>
        <v>0.042</v>
      </c>
      <c r="E70" s="16" t="n">
        <f aca="false">IF(E58&gt;0,MIN(1,E69/E58),0)</f>
        <v>0.23109778978123</v>
      </c>
      <c r="F70" s="16" t="n">
        <f aca="false">IF(F58&gt;0,MIN(1,F69/F58),0)</f>
        <v>0.244128</v>
      </c>
      <c r="G70" s="16" t="n">
        <f aca="false">IF(G58&gt;0,MIN(1,G69/G58),0)</f>
        <v>0.244128</v>
      </c>
    </row>
    <row r="71" customFormat="false" ht="15" hidden="false" customHeight="true" outlineLevel="0" collapsed="false">
      <c r="A71" s="13" t="s">
        <v>637</v>
      </c>
      <c r="C71" s="35" t="n">
        <f aca="false">C53+C55-C69</f>
        <v>4540.90200065124</v>
      </c>
      <c r="D71" s="35" t="n">
        <f aca="false">D53+D55-D69</f>
        <v>4828.04053601393</v>
      </c>
      <c r="E71" s="35" t="n">
        <f aca="false">E53+E55-E69</f>
        <v>6260.69854367476</v>
      </c>
      <c r="F71" s="35" t="n">
        <f aca="false">F53+F55-F69</f>
        <v>9278.80188587151</v>
      </c>
      <c r="G71" s="35" t="n">
        <f aca="false">G53+G55-G69</f>
        <v>10869.273872467</v>
      </c>
    </row>
    <row r="72" customFormat="false" ht="15" hidden="false" customHeight="true" outlineLevel="0" collapsed="false">
      <c r="A72" s="13" t="s">
        <v>638</v>
      </c>
      <c r="C72" s="35" t="n">
        <f aca="false">C12+C20</f>
        <v>6508.4333569238</v>
      </c>
      <c r="D72" s="35" t="n">
        <f aca="false">D12+D20</f>
        <v>8278.72</v>
      </c>
      <c r="E72" s="35" t="n">
        <f aca="false">E12+E20</f>
        <v>9686.1024</v>
      </c>
      <c r="F72" s="35" t="n">
        <f aca="false">F12+F20</f>
        <v>10331.84256</v>
      </c>
      <c r="G72" s="35" t="n">
        <f aca="false">G12+G20</f>
        <v>10396.416576</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9497.07535757504</v>
      </c>
      <c r="D75" s="36" t="n">
        <f aca="false">D53+D72+D52+D55-D69-D51+D73+D74</f>
        <v>10457.5701360139</v>
      </c>
      <c r="E75" s="36" t="n">
        <f aca="false">E53+E72+E52+E55-E69-E51+E73+E74</f>
        <v>12304.1641436748</v>
      </c>
      <c r="F75" s="36" t="n">
        <f aca="false">F53+F72+F52+F55-F69-F51+F73+F74</f>
        <v>16183.2543658715</v>
      </c>
      <c r="G75" s="36" t="n">
        <f aca="false">G53+G72+G52+G55-G69-G51+G73+G74</f>
        <v>18354.892496467</v>
      </c>
    </row>
    <row r="76" customFormat="false" ht="15" hidden="false" customHeight="true" outlineLevel="0" collapsed="false">
      <c r="A76" s="10" t="s">
        <v>642</v>
      </c>
      <c r="C76" s="36" t="n">
        <f aca="false">C53+C52-(C69-C55*C70)-C51+C73+C74</f>
        <v>71.0297212512367</v>
      </c>
      <c r="D76" s="36" t="n">
        <f aca="false">D53+D52-(D69-D55*D70)-D51+D73+D74</f>
        <v>-1084.19546879999</v>
      </c>
      <c r="E76" s="36" t="n">
        <f aca="false">E53+E52-(E69-E55*E70)-E51+E73+E74</f>
        <v>-201.918742894017</v>
      </c>
      <c r="F76" s="36" t="n">
        <f aca="false">F53+F52-(F69-F55*F70)-F51+F73+F74</f>
        <v>2846.71082231806</v>
      </c>
      <c r="G76" s="36" t="n">
        <f aca="false">G53+G52-(G69-G55*G70)-G51+G73+G74</f>
        <v>4647.9632158126</v>
      </c>
    </row>
    <row r="77" customFormat="false" ht="15" hidden="false" customHeight="true" outlineLevel="0" collapsed="false">
      <c r="A77" s="13" t="s">
        <v>643</v>
      </c>
      <c r="C77" s="16" t="n">
        <f aca="false">IFERROR(C76/C49,0)</f>
        <v>0.00137276721524558</v>
      </c>
      <c r="D77" s="16" t="n">
        <f aca="false">IFERROR(D76/D49,0)</f>
        <v>-0.0130961727030265</v>
      </c>
      <c r="E77" s="16" t="n">
        <f aca="false">IFERROR(E76/E49,0)</f>
        <v>-0.00187616092727468</v>
      </c>
      <c r="F77" s="16" t="n">
        <f aca="false">IFERROR(F76/F49,0)</f>
        <v>0.0220422315248138</v>
      </c>
      <c r="G77" s="16" t="n">
        <f aca="false">IFERROR(G76/G49,0)</f>
        <v>0.0312951508559176</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136244.075357575</v>
      </c>
      <c r="E80" s="35" t="n">
        <f aca="false">D85</f>
        <v>146701.645493589</v>
      </c>
      <c r="F80" s="35" t="n">
        <f aca="false">E85</f>
        <v>159005.809637264</v>
      </c>
      <c r="G80" s="35" t="n">
        <f aca="false">F85</f>
        <v>175189.064003135</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4399.07535757504</v>
      </c>
      <c r="D82" s="35" t="n">
        <f aca="false">D75</f>
        <v>10457.5701360139</v>
      </c>
      <c r="E82" s="35" t="n">
        <f aca="false">E75</f>
        <v>12304.1641436748</v>
      </c>
      <c r="F82" s="35" t="n">
        <f aca="false">F75</f>
        <v>16183.2543658715</v>
      </c>
      <c r="G82" s="35" t="n">
        <f aca="false">G75</f>
        <v>18354.892496467</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136244.075357575</v>
      </c>
      <c r="D85" s="36" t="n">
        <f aca="false">D80+D82+D83+D84</f>
        <v>146701.645493589</v>
      </c>
      <c r="E85" s="36" t="n">
        <f aca="false">E80+E82+E83+E84</f>
        <v>159005.809637264</v>
      </c>
      <c r="F85" s="36" t="n">
        <f aca="false">F80+F82+F83+F84</f>
        <v>175189.064003135</v>
      </c>
      <c r="G85" s="36" t="n">
        <f aca="false">G80+G82+G83+G84</f>
        <v>193543.956499602</v>
      </c>
    </row>
    <row r="86" customFormat="false" ht="15" hidden="false" customHeight="true" outlineLevel="0" collapsed="false">
      <c r="A86" s="13" t="s">
        <v>653</v>
      </c>
      <c r="C86" s="35" t="n">
        <f aca="false">MIN(C80-C81,C85)</f>
        <v>131845</v>
      </c>
      <c r="D86" s="35" t="n">
        <f aca="false">MIN(D80-D81,D85)</f>
        <v>136244.075357575</v>
      </c>
      <c r="E86" s="35" t="n">
        <f aca="false">MIN(E80-E81,E85)</f>
        <v>146701.645493589</v>
      </c>
      <c r="F86" s="35" t="n">
        <f aca="false">MIN(F80-F81,F85)</f>
        <v>159005.809637264</v>
      </c>
      <c r="G86" s="35" t="n">
        <f aca="false">MIN(G80-G81,G85)</f>
        <v>175189.064003135</v>
      </c>
    </row>
    <row r="87" customFormat="false" ht="15" hidden="false" customHeight="true" outlineLevel="0" collapsed="false">
      <c r="A87" s="13" t="s">
        <v>654</v>
      </c>
      <c r="C87" s="35" t="n">
        <f aca="false">C86-Inputs!$B$29</f>
        <v>126845</v>
      </c>
      <c r="D87" s="35" t="n">
        <f aca="false">D86-Inputs!$B$29</f>
        <v>131244.075357575</v>
      </c>
      <c r="E87" s="35" t="n">
        <f aca="false">E86-Inputs!$B$29</f>
        <v>141701.645493589</v>
      </c>
      <c r="F87" s="35" t="n">
        <f aca="false">F86-Inputs!$B$29</f>
        <v>154005.809637264</v>
      </c>
      <c r="G87" s="35" t="n">
        <f aca="false">G86-Inputs!$B$29</f>
        <v>170189.064003135</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136244.075357575</v>
      </c>
      <c r="D100" s="35" t="n">
        <f aca="false">D85+SUM($C97:D97)+SUM($C98:D98)-SUM($C99:D99)</f>
        <v>146701.645493589</v>
      </c>
      <c r="E100" s="35" t="n">
        <f aca="false">E85+SUM($C97:E97)+SUM($C98:E98)-SUM($C99:E99)</f>
        <v>159005.809637264</v>
      </c>
      <c r="F100" s="35" t="n">
        <f aca="false">F85+SUM($C97:F97)+SUM($C98:F98)-SUM($C99:F99)</f>
        <v>175189.064003135</v>
      </c>
      <c r="G100" s="35" t="n">
        <f aca="false">G85+SUM($C97:G97)+SUM($C98:G98)-SUM($C99:G99)</f>
        <v>193543.956499602</v>
      </c>
    </row>
    <row r="101" customFormat="false" ht="15" hidden="false" customHeight="true" outlineLevel="0" collapsed="false">
      <c r="A101" s="13" t="s">
        <v>668</v>
      </c>
      <c r="C101" s="35" t="n">
        <f aca="false">MIN(C80-C81+0+C97,C100)</f>
        <v>131845</v>
      </c>
      <c r="D101" s="35" t="n">
        <f aca="false">MIN(D80-D81+SUM($C97:C97)+SUM($C98:C98)-SUM($C99:C99)+D97,D100)</f>
        <v>136244.075357575</v>
      </c>
      <c r="E101" s="35" t="n">
        <f aca="false">MIN(E80-E81+SUM($C97:D97)+SUM($C98:D98)-SUM($C99:D99)+E97,E100)</f>
        <v>146701.645493589</v>
      </c>
      <c r="F101" s="35" t="n">
        <f aca="false">MIN(F80-F81+SUM($C97:E97)+SUM($C98:E98)-SUM($C99:E99)+F97,F100)</f>
        <v>159005.809637264</v>
      </c>
      <c r="G101" s="35" t="n">
        <f aca="false">MIN(G80-G81+SUM($C97:F97)+SUM($C98:F98)-SUM($C99:F99)+G97,G100)</f>
        <v>175189.064003135</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51742</v>
      </c>
      <c r="D105" s="35" t="n">
        <f aca="false">D5+D31</f>
        <v>82745.8064</v>
      </c>
      <c r="E105" s="35" t="n">
        <f aca="false">E5+E31</f>
        <v>107461.92496</v>
      </c>
      <c r="F105" s="35" t="n">
        <f aca="false">F5+F31</f>
        <v>128760.587904</v>
      </c>
      <c r="G105" s="35" t="n">
        <f aca="false">G5+G31</f>
        <v>147777.635616</v>
      </c>
    </row>
    <row r="106" customFormat="false" ht="15" hidden="false" customHeight="true" outlineLevel="0" collapsed="false">
      <c r="A106" s="13" t="s">
        <v>588</v>
      </c>
      <c r="C106" s="35" t="n">
        <f aca="false">C17+C35</f>
        <v>1770.96249115357</v>
      </c>
      <c r="D106" s="35" t="n">
        <f aca="false">D17+D35</f>
        <v>2138.60832000001</v>
      </c>
      <c r="E106" s="35" t="n">
        <f aca="false">E17+E35</f>
        <v>5599.92284800002</v>
      </c>
      <c r="F106" s="35" t="n">
        <f aca="false">F17+F35</f>
        <v>9858.20459519998</v>
      </c>
      <c r="G106" s="35" t="n">
        <f aca="false">G17+G35</f>
        <v>11693.3838528</v>
      </c>
    </row>
    <row r="107" customFormat="false" ht="15" hidden="false" customHeight="true" outlineLevel="0" collapsed="false">
      <c r="A107" s="13" t="s">
        <v>617</v>
      </c>
      <c r="C107" s="35" t="n">
        <f aca="false">C51+C37</f>
        <v>1552.26</v>
      </c>
      <c r="D107" s="35" t="n">
        <f aca="false">D51+D37</f>
        <v>3309.832256</v>
      </c>
      <c r="E107" s="35" t="n">
        <f aca="false">E51+E37</f>
        <v>5373.096248</v>
      </c>
      <c r="F107" s="35" t="n">
        <f aca="false">F51+F37</f>
        <v>6438.0293952</v>
      </c>
      <c r="G107" s="35" t="n">
        <f aca="false">G51+G37</f>
        <v>7388.8817808</v>
      </c>
    </row>
    <row r="108" customFormat="false" ht="15" hidden="false" customHeight="true" outlineLevel="0" collapsed="false">
      <c r="A108" s="13" t="s">
        <v>618</v>
      </c>
      <c r="C108" s="33" t="n">
        <v>0</v>
      </c>
      <c r="D108" s="35" t="n">
        <f aca="false">SUMPRODUCT($D107:D107,--((4-COLUMN($D107:D107))&lt;Inputs!$B$32))/Inputs!$B$32</f>
        <v>661.9664512</v>
      </c>
      <c r="E108" s="35" t="n">
        <f aca="false">SUMPRODUCT($D107:E107,--((5-COLUMN($D107:E107))&lt;Inputs!$B$32))/Inputs!$B$32</f>
        <v>1736.5857008</v>
      </c>
      <c r="F108" s="35" t="n">
        <f aca="false">SUMPRODUCT($D107:F107,--((6-COLUMN($D107:F107))&lt;Inputs!$B$32))/Inputs!$B$32</f>
        <v>3024.19157984</v>
      </c>
      <c r="G108" s="35" t="n">
        <f aca="false">SUMPRODUCT($D107:G107,--((7-COLUMN($D107:G107))&lt;Inputs!$B$32))/Inputs!$B$32</f>
        <v>4501.967936</v>
      </c>
    </row>
    <row r="109" customFormat="false" ht="15" hidden="false" customHeight="true" outlineLevel="0" collapsed="false">
      <c r="A109" s="10" t="s">
        <v>619</v>
      </c>
      <c r="C109" s="36" t="n">
        <f aca="false">C106-C108</f>
        <v>1770.96249115357</v>
      </c>
      <c r="D109" s="36" t="n">
        <f aca="false">D106-D108</f>
        <v>1476.64186880001</v>
      </c>
      <c r="E109" s="36" t="n">
        <f aca="false">E106-E108</f>
        <v>3863.33714720002</v>
      </c>
      <c r="F109" s="36" t="n">
        <f aca="false">F106-F108</f>
        <v>6834.01301535998</v>
      </c>
      <c r="G109" s="36" t="n">
        <f aca="false">G106-G108</f>
        <v>7191.41591679998</v>
      </c>
    </row>
    <row r="110" customFormat="false" ht="15" hidden="false" customHeight="true" outlineLevel="0" collapsed="false">
      <c r="A110" s="13" t="s">
        <v>620</v>
      </c>
      <c r="C110" s="16" t="n">
        <f aca="false">IFERROR(C109/C105,0)</f>
        <v>0.0342267885113365</v>
      </c>
      <c r="D110" s="16" t="n">
        <f aca="false">IFERROR(D109/D105,0)</f>
        <v>0.0178455191029477</v>
      </c>
      <c r="E110" s="16" t="n">
        <f aca="false">IFERROR(E109/E105,0)</f>
        <v>0.0359507532424907</v>
      </c>
      <c r="F110" s="16" t="n">
        <f aca="false">IFERROR(F109/F105,0)</f>
        <v>0.0530753480285071</v>
      </c>
      <c r="G110" s="16" t="n">
        <f aca="false">IFERROR(G109/G105,0)</f>
        <v>0.0486637635446196</v>
      </c>
    </row>
    <row r="111" customFormat="false" ht="15" hidden="false" customHeight="true" outlineLevel="0" collapsed="false">
      <c r="A111" s="13" t="s">
        <v>621</v>
      </c>
      <c r="C111" s="35" t="n">
        <f aca="false">Historicals!F43+Historicals!H13+C136*Inputs!$B$20/4</f>
        <v>3183.03125</v>
      </c>
      <c r="D111" s="35" t="n">
        <f aca="false">MAX(0,D136-D137)*Inputs!$B$20</f>
        <v>3406.10188393938</v>
      </c>
      <c r="E111" s="35" t="n">
        <f aca="false">MAX(0,E136-E137)*Inputs!$B$20</f>
        <v>3663.81495169748</v>
      </c>
      <c r="F111" s="35" t="n">
        <f aca="false">MAX(0,F136-F137)*Inputs!$B$20</f>
        <v>3960.73943398014</v>
      </c>
      <c r="G111" s="35" t="n">
        <f aca="false">MAX(0,G136-G137)*Inputs!$B$20</f>
        <v>4337.67583068083</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4953.99374115357</v>
      </c>
      <c r="D114" s="35" t="n">
        <f aca="false">D109+D111+D112-D113</f>
        <v>4882.74375273939</v>
      </c>
      <c r="E114" s="35" t="n">
        <f aca="false">E109+E111+E112-E113</f>
        <v>7527.1520988975</v>
      </c>
      <c r="F114" s="35" t="n">
        <f aca="false">F109+F111+F112-F113</f>
        <v>10794.7524493401</v>
      </c>
      <c r="G114" s="35" t="n">
        <f aca="false">G109+G111+G112-G113</f>
        <v>11529.0917474808</v>
      </c>
    </row>
    <row r="115" customFormat="false" ht="15" hidden="false" customHeight="true" outlineLevel="0" collapsed="false">
      <c r="A115" s="13" t="s">
        <v>625</v>
      </c>
      <c r="C115" s="35" t="n">
        <f aca="false">C114*Inputs!$B$58</f>
        <v>3566.87549363057</v>
      </c>
      <c r="D115" s="35" t="n">
        <f aca="false">D114*Inputs!$B$58</f>
        <v>3515.57550197236</v>
      </c>
      <c r="E115" s="35" t="n">
        <f aca="false">E114*Inputs!$B$58</f>
        <v>5419.5495112062</v>
      </c>
      <c r="F115" s="35" t="n">
        <f aca="false">F114*Inputs!$B$58</f>
        <v>7772.22176352488</v>
      </c>
      <c r="G115" s="35" t="n">
        <f aca="false">G114*Inputs!$B$58</f>
        <v>8300.94605818618</v>
      </c>
    </row>
    <row r="116" customFormat="false" ht="15" hidden="false" customHeight="true" outlineLevel="0" collapsed="false">
      <c r="A116" s="13" t="s">
        <v>626</v>
      </c>
      <c r="C116" s="35" t="n">
        <f aca="false">Inputs!$B$60</f>
        <v>4200</v>
      </c>
      <c r="D116" s="35" t="n">
        <f aca="false">C118</f>
        <v>4200</v>
      </c>
      <c r="E116" s="35" t="n">
        <f aca="false">D118</f>
        <v>684.424498027643</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3515.57550197236</v>
      </c>
      <c r="E117" s="35" t="n">
        <f aca="false">IF(AND(2028=2026,Inputs!$B$61=1),0,MIN(E116,MAX(0,E115)))</f>
        <v>684.424498027643</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684.424498027643</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214.012529617834</v>
      </c>
      <c r="D119" s="35" t="n">
        <f aca="false">MAX(0,D115-D117)*Inputs!$B$59</f>
        <v>0</v>
      </c>
      <c r="E119" s="35" t="n">
        <f aca="false">MAX(0,E115-E117)*Inputs!$B$59</f>
        <v>284.107500790713</v>
      </c>
      <c r="F119" s="35" t="n">
        <f aca="false">MAX(0,F115-F117)*Inputs!$B$59</f>
        <v>466.333305811493</v>
      </c>
      <c r="G119" s="35" t="n">
        <f aca="false">MAX(0,G115-G117)*Inputs!$B$59</f>
        <v>498.056763491171</v>
      </c>
    </row>
    <row r="120" customFormat="false" ht="15" hidden="false" customHeight="true" outlineLevel="0" collapsed="false">
      <c r="A120" s="13" t="s">
        <v>630</v>
      </c>
      <c r="C120" s="35" t="n">
        <f aca="false">C114-C119</f>
        <v>4739.98121153574</v>
      </c>
      <c r="D120" s="35" t="n">
        <f aca="false">D114-D119</f>
        <v>4882.74375273939</v>
      </c>
      <c r="E120" s="35" t="n">
        <f aca="false">E114-E119</f>
        <v>7243.04459810679</v>
      </c>
      <c r="F120" s="35" t="n">
        <f aca="false">F114-F119</f>
        <v>10328.4191435286</v>
      </c>
      <c r="G120" s="35" t="n">
        <f aca="false">G114-G119</f>
        <v>11031.0349839896</v>
      </c>
    </row>
    <row r="121" customFormat="false" ht="15" hidden="false" customHeight="true" outlineLevel="0" collapsed="false">
      <c r="A121" s="13" t="s">
        <v>631</v>
      </c>
      <c r="C121" s="35" t="n">
        <f aca="false">Inputs!$B$56</f>
        <v>8200</v>
      </c>
      <c r="D121" s="35" t="n">
        <f aca="false">C123</f>
        <v>4408.01503077141</v>
      </c>
      <c r="E121" s="35" t="n">
        <f aca="false">D123</f>
        <v>501.820028579901</v>
      </c>
      <c r="F121" s="35" t="n">
        <f aca="false">E123</f>
        <v>0</v>
      </c>
      <c r="G121" s="35" t="n">
        <f aca="false">F123</f>
        <v>0</v>
      </c>
    </row>
    <row r="122" customFormat="false" ht="15" hidden="false" customHeight="true" outlineLevel="0" collapsed="false">
      <c r="A122" s="13" t="s">
        <v>632</v>
      </c>
      <c r="C122" s="35" t="n">
        <f aca="false">MIN(C121,Inputs!$B$57*MAX(0,C120))</f>
        <v>3791.98496922859</v>
      </c>
      <c r="D122" s="35" t="n">
        <f aca="false">MIN(D121,Inputs!$B$57*MAX(0,D120))</f>
        <v>3906.19500219151</v>
      </c>
      <c r="E122" s="35" t="n">
        <f aca="false">MIN(E121,Inputs!$B$57*MAX(0,E120))</f>
        <v>501.820028579901</v>
      </c>
      <c r="F122" s="35" t="n">
        <f aca="false">MIN(F121,Inputs!$B$57*MAX(0,F120))</f>
        <v>0</v>
      </c>
      <c r="G122" s="35" t="n">
        <f aca="false">MIN(G121,Inputs!$B$57*MAX(0,G120))</f>
        <v>0</v>
      </c>
    </row>
    <row r="123" customFormat="false" ht="15" hidden="false" customHeight="true" outlineLevel="0" collapsed="false">
      <c r="A123" s="13" t="s">
        <v>633</v>
      </c>
      <c r="C123" s="35" t="n">
        <f aca="false">C121-C122+MAX(0,-C120)</f>
        <v>4408.01503077141</v>
      </c>
      <c r="D123" s="35" t="n">
        <f aca="false">D121-D122+MAX(0,-D120)</f>
        <v>501.820028579901</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199.079210884501</v>
      </c>
      <c r="D124" s="35" t="n">
        <f aca="false">MAX(0,D120-D122)*Inputs!$B$55</f>
        <v>205.075237615054</v>
      </c>
      <c r="E124" s="35" t="n">
        <f aca="false">MAX(0,E120-E122)*Inputs!$B$55</f>
        <v>1415.65715960065</v>
      </c>
      <c r="F124" s="35" t="n">
        <f aca="false">MAX(0,F120-F122)*Inputs!$B$55</f>
        <v>2168.96802014101</v>
      </c>
      <c r="G124" s="35" t="n">
        <f aca="false">MAX(0,G120-G122)*Inputs!$B$55</f>
        <v>2316.51734663782</v>
      </c>
    </row>
    <row r="125" customFormat="false" ht="15" hidden="false" customHeight="true" outlineLevel="0" collapsed="false">
      <c r="A125" s="10" t="s">
        <v>635</v>
      </c>
      <c r="C125" s="36" t="n">
        <f aca="false">IF(Inputs!$B$105=0,MAX(0,C109+C111)*Inputs!B$66,IF(Inputs!$B$105=2,MAX(0,C114)*Inputs!$B$106,C119+C124))</f>
        <v>413.091740502335</v>
      </c>
      <c r="D125" s="36" t="n">
        <f aca="false">IF(Inputs!$B$105=0,MAX(0,D109+D111)*Inputs!C$66,IF(Inputs!$B$105=2,MAX(0,D114)*Inputs!$B$106,D119+D124))</f>
        <v>205.075237615054</v>
      </c>
      <c r="E125" s="36" t="n">
        <f aca="false">IF(Inputs!$B$105=0,MAX(0,E109+E111)*Inputs!D$66,IF(Inputs!$B$105=2,MAX(0,E114)*Inputs!$B$106,E119+E124))</f>
        <v>1699.76466039136</v>
      </c>
      <c r="F125" s="36" t="n">
        <f aca="false">IF(Inputs!$B$105=0,MAX(0,F109+F111)*Inputs!E$66,IF(Inputs!$B$105=2,MAX(0,F114)*Inputs!$B$106,F119+F124))</f>
        <v>2635.3013259525</v>
      </c>
      <c r="G125" s="36" t="n">
        <f aca="false">IF(Inputs!$B$105=0,MAX(0,G109+G111)*Inputs!F$66,IF(Inputs!$B$105=2,MAX(0,G114)*Inputs!$B$106,G119+G124))</f>
        <v>2814.574110129</v>
      </c>
    </row>
    <row r="126" customFormat="false" ht="15" hidden="false" customHeight="true" outlineLevel="0" collapsed="false">
      <c r="A126" s="13" t="s">
        <v>636</v>
      </c>
      <c r="C126" s="16" t="n">
        <f aca="false">IF(C114&gt;0,MIN(1,C125/C114),0)</f>
        <v>0.0833856</v>
      </c>
      <c r="D126" s="16" t="n">
        <f aca="false">IF(D114&gt;0,MIN(1,D125/D114),0)</f>
        <v>0.042</v>
      </c>
      <c r="E126" s="16" t="n">
        <f aca="false">IF(E114&gt;0,MIN(1,E125/E114),0)</f>
        <v>0.225817764548736</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4540.90200065124</v>
      </c>
      <c r="D127" s="35" t="n">
        <f aca="false">D109+D111-D125</f>
        <v>4677.66851512433</v>
      </c>
      <c r="E127" s="35" t="n">
        <f aca="false">E109+E111-E125</f>
        <v>5827.38743850614</v>
      </c>
      <c r="F127" s="35" t="n">
        <f aca="false">F109+F111-F125</f>
        <v>8159.45112338761</v>
      </c>
      <c r="G127" s="35" t="n">
        <f aca="false">G109+G111-G125</f>
        <v>8714.51763735182</v>
      </c>
    </row>
    <row r="128" customFormat="false" ht="15" hidden="false" customHeight="true" outlineLevel="0" collapsed="false">
      <c r="A128" s="13" t="s">
        <v>638</v>
      </c>
      <c r="C128" s="35" t="n">
        <f aca="false">C12+C20</f>
        <v>6508.4333569238</v>
      </c>
      <c r="D128" s="35" t="n">
        <f aca="false">D12+D20</f>
        <v>8278.72</v>
      </c>
      <c r="E128" s="35" t="n">
        <f aca="false">E12+E20</f>
        <v>9686.1024</v>
      </c>
      <c r="F128" s="35" t="n">
        <f aca="false">F12+F20</f>
        <v>10331.84256</v>
      </c>
      <c r="G128" s="35" t="n">
        <f aca="false">G12+G20</f>
        <v>10396.416576</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9497.07535757504</v>
      </c>
      <c r="D131" s="36" t="n">
        <f aca="false">D109+D128+D108+D111-D125-D107+D129+D130</f>
        <v>10308.5227103243</v>
      </c>
      <c r="E131" s="36" t="n">
        <f aca="false">E109+E128+E108+E111-E125-E107+E129+E130</f>
        <v>11876.9792913061</v>
      </c>
      <c r="F131" s="36" t="n">
        <f aca="false">F109+F128+F108+F111-F125-F107+F129+F130</f>
        <v>15077.4558680276</v>
      </c>
      <c r="G131" s="36" t="n">
        <f aca="false">G109+G128+G108+G111-G125-G107+G129+G130</f>
        <v>16224.0203685518</v>
      </c>
    </row>
    <row r="132" customFormat="false" ht="15" hidden="false" customHeight="true" outlineLevel="0" collapsed="false">
      <c r="A132" s="10" t="s">
        <v>642</v>
      </c>
      <c r="C132" s="36" t="n">
        <f aca="false">C109+C108-(C125-C111*C126)-C107+C129+C130</f>
        <v>71.0297212512367</v>
      </c>
      <c r="D132" s="36" t="n">
        <f aca="false">D109+D108-(D125-D111*D126)-D107+D129+D130</f>
        <v>-1233.24289448959</v>
      </c>
      <c r="E132" s="36" t="n">
        <f aca="false">E109+E108-(E125-E111*E126)-E107+E129+E130</f>
        <v>-645.583558278782</v>
      </c>
      <c r="F132" s="36" t="n">
        <f aca="false">F109+F108-(F125-F111*F126)-F107+F129+F130</f>
        <v>1751.80127058618</v>
      </c>
      <c r="G132" s="36" t="n">
        <f aca="false">G109+G108-(G125-G111*G126)-G107+G129+G130</f>
        <v>2548.87608706344</v>
      </c>
    </row>
    <row r="133" customFormat="false" ht="15" hidden="false" customHeight="true" outlineLevel="0" collapsed="false">
      <c r="A133" s="13" t="s">
        <v>643</v>
      </c>
      <c r="C133" s="16" t="n">
        <f aca="false">IFERROR(C132/C105,0)</f>
        <v>0.00137276721524558</v>
      </c>
      <c r="D133" s="16" t="n">
        <f aca="false">IFERROR(D132/D105,0)</f>
        <v>-0.0149039926993761</v>
      </c>
      <c r="E133" s="16" t="n">
        <f aca="false">IFERROR(E132/E105,0)</f>
        <v>-0.00600755624393556</v>
      </c>
      <c r="F133" s="16" t="n">
        <f aca="false">IFERROR(F132/F105,0)</f>
        <v>0.0136051046294715</v>
      </c>
      <c r="G133" s="16" t="n">
        <f aca="false">IFERROR(G132/G105,0)</f>
        <v>0.0172480502644303</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136244.075357575</v>
      </c>
      <c r="E136" s="35" t="n">
        <f aca="false">D141</f>
        <v>146552.598067899</v>
      </c>
      <c r="F136" s="35" t="n">
        <f aca="false">E141</f>
        <v>158429.577359206</v>
      </c>
      <c r="G136" s="35" t="n">
        <f aca="false">F141</f>
        <v>173507.033227233</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4399.07535757504</v>
      </c>
      <c r="D138" s="35" t="n">
        <f aca="false">D131</f>
        <v>10308.5227103243</v>
      </c>
      <c r="E138" s="35" t="n">
        <f aca="false">E131</f>
        <v>11876.9792913061</v>
      </c>
      <c r="F138" s="35" t="n">
        <f aca="false">F131</f>
        <v>15077.4558680276</v>
      </c>
      <c r="G138" s="35" t="n">
        <f aca="false">G131</f>
        <v>16224.0203685518</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136244.075357575</v>
      </c>
      <c r="D141" s="36" t="n">
        <f aca="false">D136+D138+D139+D140</f>
        <v>146552.598067899</v>
      </c>
      <c r="E141" s="36" t="n">
        <f aca="false">E136+E138+E139+E140</f>
        <v>158429.577359206</v>
      </c>
      <c r="F141" s="36" t="n">
        <f aca="false">F136+F138+F139+F140</f>
        <v>173507.033227233</v>
      </c>
      <c r="G141" s="36" t="n">
        <f aca="false">G136+G138+G139+G140</f>
        <v>189731.053595785</v>
      </c>
    </row>
    <row r="142" customFormat="false" ht="15" hidden="false" customHeight="true" outlineLevel="0" collapsed="false">
      <c r="A142" s="13" t="s">
        <v>653</v>
      </c>
      <c r="C142" s="35" t="n">
        <f aca="false">MIN(C136-C137,C141)</f>
        <v>131845</v>
      </c>
      <c r="D142" s="35" t="n">
        <f aca="false">MIN(D136-D137,D141)</f>
        <v>136244.075357575</v>
      </c>
      <c r="E142" s="35" t="n">
        <f aca="false">MIN(E136-E137,E141)</f>
        <v>146552.598067899</v>
      </c>
      <c r="F142" s="35" t="n">
        <f aca="false">MIN(F136-F137,F141)</f>
        <v>158429.577359206</v>
      </c>
      <c r="G142" s="35" t="n">
        <f aca="false">MIN(G136-G137,G141)</f>
        <v>173507.033227233</v>
      </c>
    </row>
    <row r="143" customFormat="false" ht="15" hidden="false" customHeight="true" outlineLevel="0" collapsed="false">
      <c r="A143" s="13" t="s">
        <v>654</v>
      </c>
      <c r="C143" s="35" t="n">
        <f aca="false">C142-Inputs!$B$29</f>
        <v>126845</v>
      </c>
      <c r="D143" s="35" t="n">
        <f aca="false">D142-Inputs!$B$29</f>
        <v>131244.075357575</v>
      </c>
      <c r="E143" s="35" t="n">
        <f aca="false">E142-Inputs!$B$29</f>
        <v>141552.598067899</v>
      </c>
      <c r="F143" s="35" t="n">
        <f aca="false">F142-Inputs!$B$29</f>
        <v>153429.577359206</v>
      </c>
      <c r="G143" s="35" t="n">
        <f aca="false">G142-Inputs!$B$29</f>
        <v>168507.033227233</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136244.075357575</v>
      </c>
      <c r="D156" s="35" t="n">
        <f aca="false">D141+SUM($C153:D153)+SUM($C154:D154)-SUM($C155:D155)</f>
        <v>146552.598067899</v>
      </c>
      <c r="E156" s="35" t="n">
        <f aca="false">E141+SUM($C153:E153)+SUM($C154:E154)-SUM($C155:E155)</f>
        <v>158429.577359206</v>
      </c>
      <c r="F156" s="35" t="n">
        <f aca="false">F141+SUM($C153:F153)+SUM($C154:F154)-SUM($C155:F155)</f>
        <v>173507.033227233</v>
      </c>
      <c r="G156" s="35" t="n">
        <f aca="false">G141+SUM($C153:G153)+SUM($C154:G154)-SUM($C155:G155)</f>
        <v>189731.053595785</v>
      </c>
    </row>
    <row r="157" customFormat="false" ht="15" hidden="false" customHeight="true" outlineLevel="0" collapsed="false">
      <c r="A157" s="13" t="s">
        <v>668</v>
      </c>
      <c r="C157" s="35" t="n">
        <f aca="false">MIN(C136-C137+0+C153,C156)</f>
        <v>131845</v>
      </c>
      <c r="D157" s="35" t="n">
        <f aca="false">MIN(D136-D137+SUM($C153:C153)+SUM($C154:C154)-SUM($C155:C155)+D153,D156)</f>
        <v>136244.075357575</v>
      </c>
      <c r="E157" s="35" t="n">
        <f aca="false">MIN(E136-E137+SUM($C153:D153)+SUM($C154:D154)-SUM($C155:D155)+E153,E156)</f>
        <v>146552.598067899</v>
      </c>
      <c r="F157" s="35" t="n">
        <f aca="false">MIN(F136-F137+SUM($C153:E153)+SUM($C154:E154)-SUM($C155:E155)+F153,F156)</f>
        <v>158429.577359206</v>
      </c>
      <c r="G157" s="35" t="n">
        <f aca="false">MIN(G136-G137+SUM($C153:F153)+SUM($C154:F154)-SUM($C155:F155)+G153,G156)</f>
        <v>173507.033227233</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Inputs!$B$19+Inputs!$B$104</f>
        <v>0.12</v>
      </c>
      <c r="G162" s="16" t="n">
        <f aca="false">Inputs!$B$19+Inputs!$B$104</f>
        <v>0.12</v>
      </c>
    </row>
    <row r="163" customFormat="false" ht="15" hidden="false" customHeight="true" outlineLevel="0" collapsed="false">
      <c r="A163" s="13" t="s">
        <v>673</v>
      </c>
      <c r="F163" s="35" t="n">
        <f aca="false">G53*(1-G70)</f>
        <v>7558.7611678126</v>
      </c>
      <c r="G163" s="35" t="n">
        <f aca="false">G109*(1-G126)</f>
        <v>5435.78993186344</v>
      </c>
    </row>
    <row r="164" customFormat="false" ht="15" hidden="false" customHeight="true" outlineLevel="0" collapsed="false">
      <c r="A164" s="13" t="s">
        <v>674</v>
      </c>
      <c r="F164" s="54" t="n">
        <f aca="false">Inputs!$B$102</f>
        <v>20</v>
      </c>
      <c r="G164" s="54" t="n">
        <f aca="false">Inputs!$B$102</f>
        <v>20</v>
      </c>
    </row>
    <row r="165" customFormat="false" ht="15" hidden="false" customHeight="true" outlineLevel="0" collapsed="false">
      <c r="A165" s="13" t="s">
        <v>675</v>
      </c>
      <c r="F165" s="35" t="n">
        <f aca="false">F163*F164</f>
        <v>151175.223356252</v>
      </c>
      <c r="G165" s="35" t="n">
        <f aca="false">G163*G164</f>
        <v>108715.798637269</v>
      </c>
    </row>
    <row r="166" customFormat="false" ht="15" hidden="false" customHeight="true" outlineLevel="0" collapsed="false">
      <c r="A166" s="13" t="s">
        <v>676</v>
      </c>
      <c r="F166" s="35" t="n">
        <f aca="false">F165*$G$21</f>
        <v>96074.5874497864</v>
      </c>
      <c r="G166" s="35" t="n">
        <f aca="false">G165*$G$21</f>
        <v>69090.8554422036</v>
      </c>
    </row>
    <row r="167" customFormat="false" ht="15" hidden="false" customHeight="true" outlineLevel="0" collapsed="false">
      <c r="A167" s="13" t="s">
        <v>677</v>
      </c>
      <c r="F167" s="35" t="n">
        <f aca="false">SUMPRODUCT(D76:G76,$D$21:$G$21)-F162*SUMPRODUCT(D81:G81,$D$21:$G$21)</f>
        <v>3851.0971318029</v>
      </c>
      <c r="G167" s="35" t="n">
        <f aca="false">SUMPRODUCT(D132:G132,$D$21:$G$21)-G162*SUMPRODUCT(D137:G137,$D$21:$G$21)</f>
        <v>1250.98938810996</v>
      </c>
    </row>
    <row r="168" customFormat="false" ht="15" hidden="false" customHeight="true" outlineLevel="0" collapsed="false">
      <c r="A168" s="13" t="s">
        <v>678</v>
      </c>
      <c r="F168" s="35" t="n">
        <f aca="false">F166+F167</f>
        <v>99925.6845815893</v>
      </c>
      <c r="G168" s="35" t="n">
        <f aca="false">G166+G167</f>
        <v>70341.8448303135</v>
      </c>
    </row>
    <row r="169" customFormat="false" ht="15" hidden="false" customHeight="true" outlineLevel="0" collapsed="false">
      <c r="A169" s="13" t="s">
        <v>679</v>
      </c>
      <c r="F169" s="35" t="n">
        <f aca="false">(G76-G74)*Inputs!$B$103*$G$21</f>
        <v>53169.5637253721</v>
      </c>
      <c r="G169" s="35" t="n">
        <f aca="false">(G132-G130)*Inputs!$B$103*$G$21</f>
        <v>29157.4229929665</v>
      </c>
    </row>
    <row r="170" customFormat="false" ht="15" hidden="false" customHeight="true" outlineLevel="0" collapsed="false">
      <c r="A170" s="13" t="s">
        <v>680</v>
      </c>
      <c r="F170" s="35" t="n">
        <f aca="false">F167+F169</f>
        <v>57020.660857175</v>
      </c>
      <c r="G170" s="35" t="n">
        <f aca="false">G167+G169</f>
        <v>30408.4123810764</v>
      </c>
    </row>
    <row r="171" customFormat="false" ht="15" hidden="false" customHeight="true" outlineLevel="0" collapsed="false">
      <c r="A171" s="13" t="s">
        <v>681</v>
      </c>
      <c r="F171" s="35" t="n">
        <f aca="false">F168*Inputs!$B$21+F170*(1-Inputs!$B$21)</f>
        <v>78473.1727193821</v>
      </c>
      <c r="G171" s="35" t="n">
        <f aca="false">G168*Inputs!$B$21+G170*(1-Inputs!$B$21)</f>
        <v>50375.128605695</v>
      </c>
    </row>
    <row r="172" customFormat="false" ht="15" hidden="false" customHeight="true" outlineLevel="0" collapsed="false">
      <c r="A172" s="13" t="s">
        <v>682</v>
      </c>
      <c r="F172" s="16" t="n">
        <f aca="false">IFERROR(F166/F168,0)</f>
        <v>0.961460387807917</v>
      </c>
      <c r="G172" s="16" t="n">
        <f aca="false">IFERROR(G166/G168,0)</f>
        <v>0.982215573232011</v>
      </c>
    </row>
    <row r="173" customFormat="false" ht="15" hidden="false" customHeight="true" outlineLevel="0" collapsed="false">
      <c r="A173" s="13" t="s">
        <v>683</v>
      </c>
      <c r="F173" s="16" t="n">
        <f aca="false">IFERROR(F169/F170,0)</f>
        <v>0.932461373230151</v>
      </c>
      <c r="G173" s="16" t="n">
        <f aca="false">IFERROR(G169/G170,0)</f>
        <v>0.958860417557068</v>
      </c>
    </row>
    <row r="174" customFormat="false" ht="15" hidden="false" customHeight="true" outlineLevel="0" collapsed="false">
      <c r="A174" s="13" t="s">
        <v>684</v>
      </c>
      <c r="F174" s="35" t="n">
        <f aca="false">C85</f>
        <v>136244.075357575</v>
      </c>
      <c r="G174" s="35" t="n">
        <f aca="false">C141</f>
        <v>136244.075357575</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214717.248076957</v>
      </c>
      <c r="G176" s="34" t="n">
        <f aca="false">G171+G174+G175</f>
        <v>186619.20396327</v>
      </c>
    </row>
    <row r="177" customFormat="false" ht="15" hidden="false" customHeight="true" outlineLevel="0" collapsed="false">
      <c r="A177" s="13" t="s">
        <v>687</v>
      </c>
      <c r="F177" s="35" t="n">
        <f aca="false">IF(F182="OK",F176,"unresolved")</f>
        <v>214717.248076957</v>
      </c>
      <c r="G177" s="35" t="n">
        <f aca="false">IF(G182="OK",G176,"unresolved")</f>
        <v>186619.20396327</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11.970593071644</v>
      </c>
      <c r="G179" s="25" t="n">
        <f aca="false">IF(G182="OK",G176/G178,"n/a")</f>
        <v>10.4041131767755</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11.970593071644</v>
      </c>
      <c r="G184" s="25" t="n">
        <f aca="false">IF(NOT(ISNUMBER(G179)),"unresolved",IF(G180=0,G179,(G176+G180/(1+G162)^IF(ISNUMBER(G149),MAX(0,G149-2027),0))/(G178+(G180/(1-Inputs!$B$31))/(G179*(1+G162)^IF(ISNUMBER(G149),MAX(0,G149-2027),0)*(1-0)))))</f>
        <v>10.4041131767755</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11.970593071644</v>
      </c>
      <c r="G185" s="25" t="n">
        <f aca="false">IF(NOT(ISNUMBER(G179)),"unresolved",IF(G180=0,G179,(G176+G180/(1+G162)^IF(ISNUMBER(G149),MAX(0,G149-2027),0))/(G178+(G180/(1-Inputs!$B$31))/(G179*(1+G162)^IF(ISNUMBER(G149),MAX(0,G149-2027),0)*(1-Inputs!$B$30)))))</f>
        <v>10.4041131767755</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11.970593071644</v>
      </c>
      <c r="G186" s="25" t="n">
        <f aca="false">IF(NOT(ISNUMBER(G179)),"unresolved",IF(G180=0,G179,(G176+G180/(1+G162)^IF(ISNUMBER(G149),MAX(0,G149-2027),0))/(G178+(G180/(1-Inputs!$B$31))/(G179*(1+G162)^IF(ISNUMBER(G149),MAX(0,G149-2027),0)*(1-0.3)))))</f>
        <v>10.4041131767755</v>
      </c>
    </row>
    <row r="187" customFormat="false" ht="15" hidden="false" customHeight="true" outlineLevel="0" collapsed="false">
      <c r="A187" s="13" t="s">
        <v>696</v>
      </c>
      <c r="F187" s="25" t="n">
        <f aca="false">F185</f>
        <v>11.970593071644</v>
      </c>
      <c r="G187" s="25" t="n">
        <f aca="false">G185</f>
        <v>10.4041131767755</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11.970593071644</v>
      </c>
      <c r="G189" s="12" t="n">
        <f aca="false">IF(ISNUMBER(G187),G187/(1+Inputs!$B$25)^G188,"unresolved")</f>
        <v>10.4041131767755</v>
      </c>
    </row>
    <row r="190" customFormat="false" ht="15" hidden="false" customHeight="true" outlineLevel="0" collapsed="false">
      <c r="A190" s="13" t="s">
        <v>699</v>
      </c>
      <c r="F190" s="25" t="n">
        <f aca="false">IF(F180=0,F189,"unresolved")</f>
        <v>11.970593071644</v>
      </c>
      <c r="G190" s="25" t="n">
        <f aca="false">IF(G180=0,G189,"unresolved")</f>
        <v>10.4041131767755</v>
      </c>
    </row>
    <row r="191" customFormat="false" ht="15" hidden="false" customHeight="true" outlineLevel="0" collapsed="false">
      <c r="A191" s="13" t="s">
        <v>700</v>
      </c>
      <c r="F191" s="35" t="n">
        <f aca="false">IF(ISNUMBER(F179),F176+F180/(1+F162)^IF(ISNUMBER(G93),MAX(0,G93-2027),0),"unresolved")</f>
        <v>214717.248076957</v>
      </c>
      <c r="G191" s="35" t="n">
        <f aca="false">IF(ISNUMBER(G179),G176+G180/(1+G162)^IF(ISNUMBER(G149),MAX(0,G149-2027),0),"unresolved")</f>
        <v>186619.20396327</v>
      </c>
    </row>
    <row r="192" customFormat="false" ht="15" hidden="false" customHeight="true" outlineLevel="0" collapsed="false">
      <c r="A192" s="13" t="s">
        <v>701</v>
      </c>
      <c r="F192" s="28" t="n">
        <f aca="false">IFERROR(F191/D49,"n/a")</f>
        <v>2.5936044228692</v>
      </c>
      <c r="G192" s="28" t="n">
        <f aca="false">IFERROR(G191/D105,"n/a")</f>
        <v>2.25533126187855</v>
      </c>
    </row>
    <row r="193" customFormat="false" ht="15" hidden="false" customHeight="true" outlineLevel="0" collapsed="false">
      <c r="A193" s="13" t="s">
        <v>702</v>
      </c>
      <c r="F193" s="25" t="n">
        <f aca="false">(F168+F174)/F178</f>
        <v>13.1665812475685</v>
      </c>
      <c r="G193" s="25" t="n">
        <f aca="false">(G168+G174)/G178</f>
        <v>11.5172675090079</v>
      </c>
    </row>
    <row r="194" customFormat="false" ht="15" hidden="false" customHeight="true" outlineLevel="0" collapsed="false">
      <c r="A194" s="13" t="s">
        <v>703</v>
      </c>
      <c r="F194" s="25" t="n">
        <f aca="false">(F170+F174)/F178</f>
        <v>10.7746048957194</v>
      </c>
      <c r="G194" s="25" t="n">
        <f aca="false">(G170+G174)/G178</f>
        <v>9.29095884454297</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708</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Historicals!F35+(Inputs!$B$5+Inputs!$C$75)</f>
        <v>54242</v>
      </c>
      <c r="D5" s="35" t="n">
        <f aca="false">C5*(1+Inputs!$C$77)</f>
        <v>108484</v>
      </c>
      <c r="E5" s="35" t="n">
        <f aca="false">D5*(1+Inputs!$C$78)</f>
        <v>168150.2</v>
      </c>
      <c r="F5" s="35" t="n">
        <f aca="false">E5*(1+Inputs!$C$79)</f>
        <v>227002.77</v>
      </c>
      <c r="G5" s="35" t="n">
        <f aca="false">F5*(1+Inputs!$C$80)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Historicals!F51+(Inputs!$B$5+Inputs!$C$75)*Historicals!F51/Historicals!F35</f>
        <v>10731.163207663</v>
      </c>
      <c r="D7" s="35" t="n">
        <f aca="false">D5*Inputs!$C$76</f>
        <v>21696.8</v>
      </c>
      <c r="E7" s="35" t="n">
        <f aca="false">E5*Inputs!$C$76</f>
        <v>33630.04</v>
      </c>
      <c r="F7" s="35" t="n">
        <f aca="false">F5*Inputs!$C$76</f>
        <v>45400.554</v>
      </c>
      <c r="G7" s="35" t="n">
        <f aca="false">G5*Inputs!$C$76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Historicals!F36+Historicals!H6+Inputs!$C$75*Inputs!$C$81</f>
        <v>28258</v>
      </c>
      <c r="D9" s="35" t="n">
        <f aca="false">(C9-Inputs!$C$113)*(1+Inputs!$C$82)</f>
        <v>48038.6</v>
      </c>
      <c r="E9" s="35" t="n">
        <f aca="false">D9*(1+Inputs!$C$83)</f>
        <v>69655.97</v>
      </c>
      <c r="F9" s="35" t="n">
        <f aca="false">E9*(1+Inputs!$C$84)</f>
        <v>90552.761</v>
      </c>
      <c r="G9" s="35" t="n">
        <f aca="false">F9*(1+Inputs!$C$85)</f>
        <v>108663.3132</v>
      </c>
    </row>
    <row r="10" customFormat="false" ht="15" hidden="false" customHeight="true" outlineLevel="0" collapsed="false">
      <c r="A10" s="13" t="s">
        <v>219</v>
      </c>
      <c r="B10" s="41" t="n">
        <f aca="false">Historicals!D36</f>
        <v>7326</v>
      </c>
      <c r="C10" s="35" t="n">
        <f aca="false">Historicals!F36+Historicals!H6+MAX(Inputs!$C$75*Inputs!$C$81,Inputs!$C$108*C22)</f>
        <v>28258</v>
      </c>
      <c r="D10" s="35" t="n">
        <f aca="false">MAX(D9,Inputs!$C$108*D22)</f>
        <v>48038.6</v>
      </c>
      <c r="E10" s="35" t="n">
        <f aca="false">MAX(E9,Inputs!$C$108*E22)</f>
        <v>69655.97</v>
      </c>
      <c r="F10" s="35" t="n">
        <f aca="false">MAX(F9,Inputs!$C$108*F22)</f>
        <v>90552.761</v>
      </c>
      <c r="G10" s="35" t="n">
        <f aca="false">MAX(G9,Inputs!$C$108*G22)</f>
        <v>108663.3132</v>
      </c>
    </row>
    <row r="11" customFormat="false" ht="15" hidden="false" customHeight="true" outlineLevel="0" collapsed="false">
      <c r="A11" s="13" t="s">
        <v>220</v>
      </c>
      <c r="B11" s="41" t="n">
        <f aca="false">Historicals!D37</f>
        <v>1839</v>
      </c>
      <c r="C11" s="35" t="n">
        <f aca="false">Historicals!F37+Historicals!H7+Inputs!$C$75*Historicals!H24</f>
        <v>6982.0728945506</v>
      </c>
      <c r="D11" s="35" t="n">
        <f aca="false">D5*Inputs!$C$86</f>
        <v>15187.76</v>
      </c>
      <c r="E11" s="35" t="n">
        <f aca="false">E5*Inputs!$C$87</f>
        <v>21859.526</v>
      </c>
      <c r="F11" s="35" t="n">
        <f aca="false">F5*Inputs!$C$88</f>
        <v>27240.3324</v>
      </c>
      <c r="G11" s="35" t="n">
        <f aca="false">G5*Inputs!$C$89</f>
        <v>31212.880875</v>
      </c>
    </row>
    <row r="12" customFormat="false" ht="15" hidden="false" customHeight="true" outlineLevel="0" collapsed="false">
      <c r="A12" s="13" t="s">
        <v>584</v>
      </c>
      <c r="B12" s="41" t="n">
        <f aca="false">Historicals!D49</f>
        <v>1158</v>
      </c>
      <c r="C12" s="35" t="n">
        <f aca="false">Historicals!F49+Historicals!H19+Inputs!$C$75*Historicals!H29</f>
        <v>4580.19462137297</v>
      </c>
      <c r="D12" s="35" t="n">
        <f aca="false">D5*Inputs!$C$90</f>
        <v>9763.56</v>
      </c>
      <c r="E12" s="35" t="n">
        <f aca="false">E5*Inputs!$C$91</f>
        <v>13452.016</v>
      </c>
      <c r="F12" s="35" t="n">
        <f aca="false">F5*Inputs!$C$92</f>
        <v>15890.1939</v>
      </c>
      <c r="G12" s="35" t="n">
        <f aca="false">G5*Inputs!$C$93</f>
        <v>17025.20775</v>
      </c>
    </row>
    <row r="13" customFormat="false" ht="15" hidden="false" customHeight="true" outlineLevel="0" collapsed="false">
      <c r="A13" s="13" t="s">
        <v>585</v>
      </c>
      <c r="B13" s="41" t="n">
        <f aca="false">Historicals!D39</f>
        <v>568</v>
      </c>
      <c r="C13" s="35" t="n">
        <f aca="false">Historicals!F39+Historicals!H9+Inputs!$C$75*Historicals!H25</f>
        <v>8453.09766454352</v>
      </c>
      <c r="D13" s="35" t="n">
        <f aca="false">D5*Inputs!$C$94</f>
        <v>18442.28</v>
      </c>
      <c r="E13" s="35" t="n">
        <f aca="false">E5*Inputs!$C$95</f>
        <v>26904.032</v>
      </c>
      <c r="F13" s="35" t="n">
        <f aca="false">F5*Inputs!$C$96</f>
        <v>34050.4155</v>
      </c>
      <c r="G13" s="35" t="n">
        <f aca="false">G5*Inputs!$C$97</f>
        <v>42563.019375</v>
      </c>
    </row>
    <row r="14" customFormat="false" ht="15" hidden="false" customHeight="true" outlineLevel="0" collapsed="false">
      <c r="A14" s="13" t="s">
        <v>586</v>
      </c>
      <c r="B14" s="41" t="n">
        <f aca="false">Historicals!D40</f>
        <v>1412</v>
      </c>
      <c r="C14" s="35" t="n">
        <f aca="false">Historicals!F40+Historicals!H10-Inputs!$B$37+Inputs!$C$75*(Historicals!H10-Inputs!$B$37)/Historicals!H5</f>
        <v>5358.27742392074</v>
      </c>
      <c r="D14" s="35" t="n">
        <f aca="false">D5*Inputs!$C$98</f>
        <v>8678.72</v>
      </c>
      <c r="E14" s="35" t="n">
        <f aca="false">E5*Inputs!$C$99</f>
        <v>11770.514</v>
      </c>
      <c r="F14" s="35" t="n">
        <f aca="false">F5*Inputs!$C$100</f>
        <v>13620.1662</v>
      </c>
      <c r="G14" s="35" t="n">
        <f aca="false">G5*Inputs!$C$101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1/(1+Inputs!$B$19+Inputs!$C$104)^1</f>
        <v>0.892857142857143</v>
      </c>
      <c r="E21" s="53" t="n">
        <f aca="false">1/(1+Inputs!$B$19+Inputs!$C$104)^2</f>
        <v>0.79719387755102</v>
      </c>
      <c r="F21" s="53" t="n">
        <f aca="false">1/(1+Inputs!$B$19+Inputs!$C$104)^3</f>
        <v>0.711780247813411</v>
      </c>
      <c r="G21" s="53" t="n">
        <f aca="false">1/(1+Inputs!$B$19+Inputs!$C$104)^4</f>
        <v>0.635518078404831</v>
      </c>
    </row>
    <row r="22" customFormat="false" ht="15" hidden="false" customHeight="true" outlineLevel="0" collapsed="false">
      <c r="A22" s="13" t="s">
        <v>593</v>
      </c>
      <c r="C22" s="35" t="n">
        <f aca="false">Inputs!B$69+Inputs!$B$47*Inputs!$B$46</f>
        <v>11231</v>
      </c>
      <c r="D22" s="35" t="n">
        <f aca="false">Inputs!C$69+Inputs!$B$47*(1-Inputs!$B$46)+Inputs!$B$70*Inputs!$C$109</f>
        <v>97550</v>
      </c>
      <c r="E22" s="35" t="n">
        <f aca="false">Inputs!D$69+Inputs!$B$70*Inputs!$C$110</f>
        <v>107338.25</v>
      </c>
      <c r="F22" s="35" t="n">
        <f aca="false">Inputs!E$69+Inputs!$B$70*Inputs!$C$111</f>
        <v>117031.375</v>
      </c>
      <c r="G22" s="35" t="n">
        <f aca="false">Inputs!F$69+Inputs!$B$70*Inputs!$C$112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Inputs!$C$107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4012.53338675016</v>
      </c>
      <c r="F55" s="35" t="n">
        <f aca="false">MAX(0,F80-F81)*Inputs!$B$20</f>
        <v>4947.3549307441</v>
      </c>
      <c r="G55" s="35" t="n">
        <f aca="false">MAX(0,G80-G81)*Inputs!$B$20</f>
        <v>6346.65123336114</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20710.3859349873</v>
      </c>
      <c r="E58" s="35" t="n">
        <f aca="false">E53+E55+E56-E57</f>
        <v>39423.3173867502</v>
      </c>
      <c r="F58" s="35" t="n">
        <f aca="false">F53+F55+F56-F57</f>
        <v>61667.0481307441</v>
      </c>
      <c r="G58" s="35" t="n">
        <f aca="false">G53+G55+G56-G57</f>
        <v>82978.7562083612</v>
      </c>
    </row>
    <row r="59" customFormat="false" ht="15" hidden="false" customHeight="true" outlineLevel="0" collapsed="false">
      <c r="A59" s="13" t="s">
        <v>625</v>
      </c>
      <c r="C59" s="35" t="n">
        <f aca="false">C58*Inputs!$B$58</f>
        <v>4617.7799522293</v>
      </c>
      <c r="D59" s="35" t="n">
        <f aca="false">D58*Inputs!$B$58</f>
        <v>14911.4778731908</v>
      </c>
      <c r="E59" s="35" t="n">
        <f aca="false">E58*Inputs!$B$58</f>
        <v>28384.7885184601</v>
      </c>
      <c r="F59" s="35" t="n">
        <f aca="false">F58*Inputs!$B$58</f>
        <v>44400.2746541358</v>
      </c>
      <c r="G59" s="35" t="n">
        <f aca="false">G58*Inputs!$B$58</f>
        <v>59744.70447002</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642.68867239145</v>
      </c>
      <c r="E63" s="35" t="n">
        <f aca="false">MAX(0,E59-E61)*Inputs!$B$59</f>
        <v>1703.08731110761</v>
      </c>
      <c r="F63" s="35" t="n">
        <f aca="false">MAX(0,F59-F61)*Inputs!$B$59</f>
        <v>2664.01647924814</v>
      </c>
      <c r="G63" s="35" t="n">
        <f aca="false">MAX(0,G59-G61)*Inputs!$B$59</f>
        <v>3584.6822682012</v>
      </c>
    </row>
    <row r="64" customFormat="false" ht="15" hidden="false" customHeight="true" outlineLevel="0" collapsed="false">
      <c r="A64" s="13" t="s">
        <v>630</v>
      </c>
      <c r="C64" s="35" t="n">
        <f aca="false">C58-C63</f>
        <v>6136.51646985139</v>
      </c>
      <c r="D64" s="35" t="n">
        <f aca="false">D58-D63</f>
        <v>20067.6972625958</v>
      </c>
      <c r="E64" s="35" t="n">
        <f aca="false">E58-E63</f>
        <v>37720.2300756426</v>
      </c>
      <c r="F64" s="35" t="n">
        <f aca="false">F58-F63</f>
        <v>59003.031651496</v>
      </c>
      <c r="G64" s="35" t="n">
        <f aca="false">G58-G63</f>
        <v>79394.07394016</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3523.15119208015</v>
      </c>
      <c r="E68" s="35" t="n">
        <f aca="false">MAX(0,E64-E66)*Inputs!$B$55</f>
        <v>7921.24831588494</v>
      </c>
      <c r="F68" s="35" t="n">
        <f aca="false">MAX(0,F64-F66)*Inputs!$B$55</f>
        <v>12390.6366468142</v>
      </c>
      <c r="G68" s="35" t="n">
        <f aca="false">MAX(0,G64-G66)*Inputs!$B$55</f>
        <v>16672.7555274336</v>
      </c>
    </row>
    <row r="69" customFormat="false" ht="15" hidden="false" customHeight="true" outlineLevel="0" collapsed="false">
      <c r="A69" s="10" t="s">
        <v>635</v>
      </c>
      <c r="C69" s="36" t="n">
        <f aca="false">IF(Inputs!$C$105=0,MAX(0,C53+C55)*Inputs!B$66,IF(Inputs!$C$105=2,MAX(0,C58)*Inputs!$C$106,C63+C68))</f>
        <v>534.800488867516</v>
      </c>
      <c r="D69" s="36" t="n">
        <f aca="false">IF(Inputs!$C$105=0,MAX(0,D53+D55)*Inputs!C$66,IF(Inputs!$C$105=2,MAX(0,D58)*Inputs!$C$106,D63+D68))</f>
        <v>4165.8398644716</v>
      </c>
      <c r="E69" s="36" t="n">
        <f aca="false">IF(Inputs!$C$105=0,MAX(0,E53+E55)*Inputs!D$66,IF(Inputs!$C$105=2,MAX(0,E58)*Inputs!$C$106,E63+E68))</f>
        <v>9624.33562699254</v>
      </c>
      <c r="F69" s="36" t="n">
        <f aca="false">IF(Inputs!$C$105=0,MAX(0,F53+F55)*Inputs!E$66,IF(Inputs!$C$105=2,MAX(0,F58)*Inputs!$C$106,F63+F68))</f>
        <v>15054.6531260623</v>
      </c>
      <c r="G69" s="36" t="n">
        <f aca="false">IF(Inputs!$C$105=0,MAX(0,G53+G55)*Inputs!F$66,IF(Inputs!$C$105=2,MAX(0,G58)*Inputs!$C$106,G63+G68))</f>
        <v>20257.4377956348</v>
      </c>
    </row>
    <row r="70" customFormat="false" ht="15" hidden="false" customHeight="true" outlineLevel="0" collapsed="false">
      <c r="A70" s="13" t="s">
        <v>636</v>
      </c>
      <c r="C70" s="16" t="n">
        <f aca="false">IF(C58&gt;0,MIN(1,C69/C58),0)</f>
        <v>0.0833856</v>
      </c>
      <c r="D70" s="16" t="n">
        <f aca="false">IF(D58&gt;0,MIN(1,D69/D58),0)</f>
        <v>0.201147379751818</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16544.5460705157</v>
      </c>
      <c r="E71" s="35" t="n">
        <f aca="false">E53+E55-E69</f>
        <v>29798.9817597576</v>
      </c>
      <c r="F71" s="35" t="n">
        <f aca="false">F53+F55-F69</f>
        <v>46612.3950046818</v>
      </c>
      <c r="G71" s="35" t="n">
        <f aca="false">G53+G55-G69</f>
        <v>62721.3184127264</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22836.6180705157</v>
      </c>
      <c r="E75" s="36" t="n">
        <f aca="false">E53+E72+E52+E55-E69-E51+E73+E74</f>
        <v>37392.8617597576</v>
      </c>
      <c r="F75" s="36" t="n">
        <f aca="false">F53+F72+F52+F55-F69-F51+F73+F74</f>
        <v>55971.8521046818</v>
      </c>
      <c r="G75" s="36" t="n">
        <f aca="false">G53+G72+G52+G55-G69-G51+G73+G74</f>
        <v>73215.7893627264</v>
      </c>
    </row>
    <row r="76" customFormat="false" ht="15" hidden="false" customHeight="true" outlineLevel="0" collapsed="false">
      <c r="A76" s="10" t="s">
        <v>642</v>
      </c>
      <c r="C76" s="36" t="n">
        <f aca="false">C53+C52-(C69-C55*C70)-C51+C73+C74</f>
        <v>1333.91049871763</v>
      </c>
      <c r="D76" s="36" t="n">
        <f aca="false">D53+D52-(D69-D55*D70)-D51+D73+D74</f>
        <v>10323.7125652579</v>
      </c>
      <c r="E76" s="36" t="n">
        <f aca="false">E53+E52-(E69-E55*E70)-E51+E73+E74</f>
        <v>20907.884123648</v>
      </c>
      <c r="F76" s="36" t="n">
        <f aca="false">F53+F52-(F69-F55*F70)-F51+F73+F74</f>
        <v>36342.0911384704</v>
      </c>
      <c r="G76" s="36" t="n">
        <f aca="false">G53+G52-(G69-G55*G70)-G51+G73+G74</f>
        <v>51393.3256516632</v>
      </c>
    </row>
    <row r="77" customFormat="false" ht="15" hidden="false" customHeight="true" outlineLevel="0" collapsed="false">
      <c r="A77" s="13" t="s">
        <v>643</v>
      </c>
      <c r="C77" s="16" t="n">
        <f aca="false">IFERROR(C76/C49,0)</f>
        <v>0.0245918384041449</v>
      </c>
      <c r="D77" s="16" t="n">
        <f aca="false">IFERROR(D76/D49,0)</f>
        <v>0.0951634578855679</v>
      </c>
      <c r="E77" s="16" t="n">
        <f aca="false">IFERROR(E76/E49,0)</f>
        <v>0.124340524861987</v>
      </c>
      <c r="F77" s="16" t="n">
        <f aca="false">IFERROR(F76/F49,0)</f>
        <v>0.160095364204016</v>
      </c>
      <c r="G77" s="16" t="n">
        <f aca="false">IFERROR(G76/G49,0)</f>
        <v>0.181119642378507</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160501.335470006</v>
      </c>
      <c r="F80" s="35" t="n">
        <f aca="false">E85</f>
        <v>197894.197229764</v>
      </c>
      <c r="G80" s="35" t="n">
        <f aca="false">F85</f>
        <v>253866.049334446</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22836.6180705157</v>
      </c>
      <c r="E82" s="35" t="n">
        <f aca="false">E75</f>
        <v>37392.8617597576</v>
      </c>
      <c r="F82" s="35" t="n">
        <f aca="false">F75</f>
        <v>55971.8521046818</v>
      </c>
      <c r="G82" s="35" t="n">
        <f aca="false">G75</f>
        <v>73215.7893627264</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160501.335470006</v>
      </c>
      <c r="E85" s="36" t="n">
        <f aca="false">E80+E82+E83+E84</f>
        <v>197894.197229764</v>
      </c>
      <c r="F85" s="36" t="n">
        <f aca="false">F80+F82+F83+F84</f>
        <v>253866.049334446</v>
      </c>
      <c r="G85" s="36" t="n">
        <f aca="false">G80+G82+G83+G84</f>
        <v>327081.838697172</v>
      </c>
    </row>
    <row r="86" customFormat="false" ht="15" hidden="false" customHeight="true" outlineLevel="0" collapsed="false">
      <c r="A86" s="13" t="s">
        <v>653</v>
      </c>
      <c r="C86" s="35" t="n">
        <f aca="false">MIN(C80-C81,C85)</f>
        <v>131845</v>
      </c>
      <c r="D86" s="35" t="n">
        <f aca="false">MIN(D80-D81,D85)</f>
        <v>137664.717399491</v>
      </c>
      <c r="E86" s="35" t="n">
        <f aca="false">MIN(E80-E81,E85)</f>
        <v>160501.335470006</v>
      </c>
      <c r="F86" s="35" t="n">
        <f aca="false">MIN(F80-F81,F85)</f>
        <v>197894.197229764</v>
      </c>
      <c r="G86" s="35" t="n">
        <f aca="false">MIN(G80-G81,G85)</f>
        <v>253866.049334446</v>
      </c>
    </row>
    <row r="87" customFormat="false" ht="15" hidden="false" customHeight="true" outlineLevel="0" collapsed="false">
      <c r="A87" s="13" t="s">
        <v>654</v>
      </c>
      <c r="C87" s="35" t="n">
        <f aca="false">C86-Inputs!$B$29</f>
        <v>126845</v>
      </c>
      <c r="D87" s="35" t="n">
        <f aca="false">D86-Inputs!$B$29</f>
        <v>132664.717399491</v>
      </c>
      <c r="E87" s="35" t="n">
        <f aca="false">E86-Inputs!$B$29</f>
        <v>155501.335470006</v>
      </c>
      <c r="F87" s="35" t="n">
        <f aca="false">F86-Inputs!$B$29</f>
        <v>192894.197229764</v>
      </c>
      <c r="G87" s="35" t="n">
        <f aca="false">G86-Inputs!$B$29</f>
        <v>248866.049334446</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160501.335470006</v>
      </c>
      <c r="E100" s="35" t="n">
        <f aca="false">E85+SUM($C97:E97)+SUM($C98:E98)-SUM($C99:E99)</f>
        <v>197894.197229764</v>
      </c>
      <c r="F100" s="35" t="n">
        <f aca="false">F85+SUM($C97:F97)+SUM($C98:F98)-SUM($C99:F99)</f>
        <v>253866.049334446</v>
      </c>
      <c r="G100" s="35" t="n">
        <f aca="false">G85+SUM($C97:G97)+SUM($C98:G98)-SUM($C99:G99)</f>
        <v>327081.838697172</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160501.335470006</v>
      </c>
      <c r="F101" s="35" t="n">
        <f aca="false">MIN(F80-F81+SUM($C97:E97)+SUM($C98:E98)-SUM($C99:E99)+F97,F100)</f>
        <v>197894.197229764</v>
      </c>
      <c r="G101" s="35" t="n">
        <f aca="false">MIN(G80-G81+SUM($C97:F97)+SUM($C98:F98)-SUM($C99:F99)+G97,G100)</f>
        <v>253866.049334446</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4025.43602033382</v>
      </c>
      <c r="F111" s="35" t="n">
        <f aca="false">MAX(0,F136-F137)*Inputs!$B$20</f>
        <v>5008.79510342286</v>
      </c>
      <c r="G111" s="35" t="n">
        <f aca="false">MAX(0,G136-G137)*Inputs!$B$20</f>
        <v>6539.94520680447</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21475.8490389873</v>
      </c>
      <c r="E114" s="35" t="n">
        <f aca="false">E109+E111+E112-E113</f>
        <v>42371.6343343338</v>
      </c>
      <c r="F114" s="35" t="n">
        <f aca="false">F109+F111+F112-F113</f>
        <v>69604.9962444229</v>
      </c>
      <c r="G114" s="35" t="n">
        <f aca="false">G109+G111+G112-G113</f>
        <v>97816.0782034295</v>
      </c>
    </row>
    <row r="115" customFormat="false" ht="15" hidden="false" customHeight="true" outlineLevel="0" collapsed="false">
      <c r="A115" s="13" t="s">
        <v>625</v>
      </c>
      <c r="C115" s="35" t="n">
        <f aca="false">C114*Inputs!$B$58</f>
        <v>4617.7799522293</v>
      </c>
      <c r="D115" s="35" t="n">
        <f aca="false">D114*Inputs!$B$58</f>
        <v>15462.6113080708</v>
      </c>
      <c r="E115" s="35" t="n">
        <f aca="false">E114*Inputs!$B$58</f>
        <v>30507.5767207204</v>
      </c>
      <c r="F115" s="35" t="n">
        <f aca="false">F114*Inputs!$B$58</f>
        <v>50115.5972959845</v>
      </c>
      <c r="G115" s="35" t="n">
        <f aca="false">G114*Inputs!$B$58</f>
        <v>70427.5763064692</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675.75667848425</v>
      </c>
      <c r="E119" s="35" t="n">
        <f aca="false">MAX(0,E115-E117)*Inputs!$B$59</f>
        <v>1830.45460324322</v>
      </c>
      <c r="F119" s="35" t="n">
        <f aca="false">MAX(0,F115-F117)*Inputs!$B$59</f>
        <v>3006.93583775907</v>
      </c>
      <c r="G119" s="35" t="n">
        <f aca="false">MAX(0,G115-G117)*Inputs!$B$59</f>
        <v>4225.65457838815</v>
      </c>
    </row>
    <row r="120" customFormat="false" ht="15" hidden="false" customHeight="true" outlineLevel="0" collapsed="false">
      <c r="A120" s="13" t="s">
        <v>630</v>
      </c>
      <c r="C120" s="35" t="n">
        <f aca="false">C114-C119</f>
        <v>6136.51646985139</v>
      </c>
      <c r="D120" s="35" t="n">
        <f aca="false">D114-D119</f>
        <v>20800.092360503</v>
      </c>
      <c r="E120" s="35" t="n">
        <f aca="false">E114-E119</f>
        <v>40541.1797310906</v>
      </c>
      <c r="F120" s="35" t="n">
        <f aca="false">F114-F119</f>
        <v>66598.0604066638</v>
      </c>
      <c r="G120" s="35" t="n">
        <f aca="false">G114-G119</f>
        <v>93590.4236250413</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3676.95416264067</v>
      </c>
      <c r="E124" s="35" t="n">
        <f aca="false">MAX(0,E120-E122)*Inputs!$B$55</f>
        <v>8513.64774352903</v>
      </c>
      <c r="F124" s="35" t="n">
        <f aca="false">MAX(0,F120-F122)*Inputs!$B$55</f>
        <v>13985.5926853994</v>
      </c>
      <c r="G124" s="35" t="n">
        <f aca="false">MAX(0,G120-G122)*Inputs!$B$55</f>
        <v>19653.9889612587</v>
      </c>
    </row>
    <row r="125" customFormat="false" ht="15" hidden="false" customHeight="true" outlineLevel="0" collapsed="false">
      <c r="A125" s="10" t="s">
        <v>635</v>
      </c>
      <c r="C125" s="36" t="n">
        <f aca="false">IF(Inputs!$C$105=0,MAX(0,C109+C111)*Inputs!B$66,IF(Inputs!$C$105=2,MAX(0,C114)*Inputs!$C$106,C119+C124))</f>
        <v>534.800488867516</v>
      </c>
      <c r="D125" s="36" t="n">
        <f aca="false">IF(Inputs!$C$105=0,MAX(0,D109+D111)*Inputs!C$66,IF(Inputs!$C$105=2,MAX(0,D114)*Inputs!$C$106,D119+D124))</f>
        <v>4352.71084112492</v>
      </c>
      <c r="E125" s="36" t="n">
        <f aca="false">IF(Inputs!$C$105=0,MAX(0,E109+E111)*Inputs!D$66,IF(Inputs!$C$105=2,MAX(0,E114)*Inputs!$C$106,E119+E124))</f>
        <v>10344.1023467723</v>
      </c>
      <c r="F125" s="36" t="n">
        <f aca="false">IF(Inputs!$C$105=0,MAX(0,F109+F111)*Inputs!E$66,IF(Inputs!$C$105=2,MAX(0,F114)*Inputs!$C$106,F119+F124))</f>
        <v>16992.5285231585</v>
      </c>
      <c r="G125" s="36" t="n">
        <f aca="false">IF(Inputs!$C$105=0,MAX(0,G109+G111)*Inputs!F$66,IF(Inputs!$C$105=2,MAX(0,G114)*Inputs!$C$106,G119+G124))</f>
        <v>23879.6435396468</v>
      </c>
    </row>
    <row r="126" customFormat="false" ht="15" hidden="false" customHeight="true" outlineLevel="0" collapsed="false">
      <c r="A126" s="13" t="s">
        <v>636</v>
      </c>
      <c r="C126" s="16" t="n">
        <f aca="false">IF(C114&gt;0,MIN(1,C125/C114),0)</f>
        <v>0.0833856</v>
      </c>
      <c r="D126" s="16" t="n">
        <f aca="false">IF(D114&gt;0,MIN(1,D125/D114),0)</f>
        <v>0.202679336831946</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17123.1381978623</v>
      </c>
      <c r="E127" s="35" t="n">
        <f aca="false">E109+E111-E125</f>
        <v>32027.5319875616</v>
      </c>
      <c r="F127" s="35" t="n">
        <f aca="false">F109+F111-F125</f>
        <v>52612.4677212644</v>
      </c>
      <c r="G127" s="35" t="n">
        <f aca="false">G109+G111-G125</f>
        <v>73936.4346637827</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23352.7234138624</v>
      </c>
      <c r="E131" s="36" t="n">
        <f aca="false">E109+E128+E108+E111-E125-E107+E129+E130</f>
        <v>39334.3633235616</v>
      </c>
      <c r="F131" s="36" t="n">
        <f aca="false">F109+F128+F108+F111-F125-F107+F129+F130</f>
        <v>61246.0041352644</v>
      </c>
      <c r="G131" s="36" t="n">
        <f aca="false">G109+G128+G108+G111-G125-G107+G129+G130</f>
        <v>83194.2286952827</v>
      </c>
    </row>
    <row r="132" customFormat="false" ht="15" hidden="false" customHeight="true" outlineLevel="0" collapsed="false">
      <c r="A132" s="10" t="s">
        <v>642</v>
      </c>
      <c r="C132" s="36" t="n">
        <f aca="false">C109+C108-(C125-C111*C126)-C107+C129+C130</f>
        <v>1333.91049871763</v>
      </c>
      <c r="D132" s="36" t="n">
        <f aca="false">D109+D108-(D125-D111*D126)-D107+D129+D130</f>
        <v>10845.0903195672</v>
      </c>
      <c r="E132" s="36" t="n">
        <f aca="false">E109+E108-(E125-E111*E126)-E107+E129+E130</f>
        <v>22839.6329479998</v>
      </c>
      <c r="F132" s="36" t="n">
        <f aca="false">F109+F108-(F125-F111*F126)-F107+F129+F130</f>
        <v>41569.8022628499</v>
      </c>
      <c r="G132" s="36" t="n">
        <f aca="false">G109+G108-(G125-G111*G126)-G107+G129+G130</f>
        <v>61225.6594819249</v>
      </c>
    </row>
    <row r="133" customFormat="false" ht="15" hidden="false" customHeight="true" outlineLevel="0" collapsed="false">
      <c r="A133" s="13" t="s">
        <v>643</v>
      </c>
      <c r="C133" s="16" t="n">
        <f aca="false">IFERROR(C132/C105,0)</f>
        <v>0.0245918384041449</v>
      </c>
      <c r="D133" s="16" t="n">
        <f aca="false">IFERROR(D132/D105,0)</f>
        <v>0.0982018580883433</v>
      </c>
      <c r="E133" s="16" t="n">
        <f aca="false">IFERROR(E132/E105,0)</f>
        <v>0.129979673436073</v>
      </c>
      <c r="F133" s="16" t="n">
        <f aca="false">IFERROR(F132/F105,0)</f>
        <v>0.168004263862814</v>
      </c>
      <c r="G133" s="16" t="n">
        <f aca="false">IFERROR(G132/G105,0)</f>
        <v>0.190106269871074</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161017.440813353</v>
      </c>
      <c r="F136" s="35" t="n">
        <f aca="false">E141</f>
        <v>200351.804136915</v>
      </c>
      <c r="G136" s="35" t="n">
        <f aca="false">F141</f>
        <v>261597.808272179</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23352.7234138624</v>
      </c>
      <c r="E138" s="35" t="n">
        <f aca="false">E131</f>
        <v>39334.3633235616</v>
      </c>
      <c r="F138" s="35" t="n">
        <f aca="false">F131</f>
        <v>61246.0041352644</v>
      </c>
      <c r="G138" s="35" t="n">
        <f aca="false">G131</f>
        <v>83194.2286952827</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161017.440813353</v>
      </c>
      <c r="E141" s="36" t="n">
        <f aca="false">E136+E138+E139+E140</f>
        <v>200351.804136915</v>
      </c>
      <c r="F141" s="36" t="n">
        <f aca="false">F136+F138+F139+F140</f>
        <v>261597.808272179</v>
      </c>
      <c r="G141" s="36" t="n">
        <f aca="false">G136+G138+G139+G140</f>
        <v>344792.036967462</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161017.440813353</v>
      </c>
      <c r="F142" s="35" t="n">
        <f aca="false">MIN(F136-F137,F141)</f>
        <v>200351.804136915</v>
      </c>
      <c r="G142" s="35" t="n">
        <f aca="false">MIN(G136-G137,G141)</f>
        <v>261597.808272179</v>
      </c>
    </row>
    <row r="143" customFormat="false" ht="15" hidden="false" customHeight="true" outlineLevel="0" collapsed="false">
      <c r="A143" s="13" t="s">
        <v>654</v>
      </c>
      <c r="C143" s="35" t="n">
        <f aca="false">C142-Inputs!$B$29</f>
        <v>126845</v>
      </c>
      <c r="D143" s="35" t="n">
        <f aca="false">D142-Inputs!$B$29</f>
        <v>132664.717399491</v>
      </c>
      <c r="E143" s="35" t="n">
        <f aca="false">E142-Inputs!$B$29</f>
        <v>156017.440813353</v>
      </c>
      <c r="F143" s="35" t="n">
        <f aca="false">F142-Inputs!$B$29</f>
        <v>195351.804136915</v>
      </c>
      <c r="G143" s="35" t="n">
        <f aca="false">G142-Inputs!$B$29</f>
        <v>256597.808272179</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161017.440813353</v>
      </c>
      <c r="E156" s="35" t="n">
        <f aca="false">E141+SUM($C153:E153)+SUM($C154:E154)-SUM($C155:E155)</f>
        <v>200351.804136915</v>
      </c>
      <c r="F156" s="35" t="n">
        <f aca="false">F141+SUM($C153:F153)+SUM($C154:F154)-SUM($C155:F155)</f>
        <v>261597.808272179</v>
      </c>
      <c r="G156" s="35" t="n">
        <f aca="false">G141+SUM($C153:G153)+SUM($C154:G154)-SUM($C155:G155)</f>
        <v>344792.036967462</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161017.440813353</v>
      </c>
      <c r="F157" s="35" t="n">
        <f aca="false">MIN(F136-F137+SUM($C153:E153)+SUM($C154:E154)-SUM($C155:E155)+F153,F156)</f>
        <v>200351.804136915</v>
      </c>
      <c r="G157" s="35" t="n">
        <f aca="false">MIN(G136-G137+SUM($C153:F153)+SUM($C154:F154)-SUM($C155:F155)+G153,G156)</f>
        <v>261597.808272179</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Inputs!$B$19+Inputs!$C$104</f>
        <v>0.12</v>
      </c>
      <c r="G162" s="16" t="n">
        <f aca="false">Inputs!$B$19+Inputs!$C$104</f>
        <v>0.12</v>
      </c>
    </row>
    <row r="163" customFormat="false" ht="15" hidden="false" customHeight="true" outlineLevel="0" collapsed="false">
      <c r="A163" s="13" t="s">
        <v>673</v>
      </c>
      <c r="F163" s="35" t="n">
        <f aca="false">G53*(1-G70)</f>
        <v>57924.0624516632</v>
      </c>
      <c r="G163" s="35" t="n">
        <f aca="false">G109*(1-G126)</f>
        <v>68993.0732004249</v>
      </c>
    </row>
    <row r="164" customFormat="false" ht="15" hidden="false" customHeight="true" outlineLevel="0" collapsed="false">
      <c r="A164" s="13" t="s">
        <v>674</v>
      </c>
      <c r="F164" s="54" t="n">
        <f aca="false">Inputs!$C$102</f>
        <v>30</v>
      </c>
      <c r="G164" s="54" t="n">
        <f aca="false">Inputs!$C$102</f>
        <v>30</v>
      </c>
    </row>
    <row r="165" customFormat="false" ht="15" hidden="false" customHeight="true" outlineLevel="0" collapsed="false">
      <c r="A165" s="13" t="s">
        <v>675</v>
      </c>
      <c r="F165" s="35" t="n">
        <f aca="false">F163*F164</f>
        <v>1737721.8735499</v>
      </c>
      <c r="G165" s="35" t="n">
        <f aca="false">G163*G164</f>
        <v>2069792.19601275</v>
      </c>
    </row>
    <row r="166" customFormat="false" ht="15" hidden="false" customHeight="true" outlineLevel="0" collapsed="false">
      <c r="A166" s="13" t="s">
        <v>676</v>
      </c>
      <c r="F166" s="35" t="n">
        <f aca="false">F165*$G$21</f>
        <v>1104353.66588047</v>
      </c>
      <c r="G166" s="35" t="n">
        <f aca="false">G165*$G$21</f>
        <v>1315390.35910734</v>
      </c>
    </row>
    <row r="167" customFormat="false" ht="15" hidden="false" customHeight="true" outlineLevel="0" collapsed="false">
      <c r="A167" s="13" t="s">
        <v>677</v>
      </c>
      <c r="F167" s="35" t="n">
        <f aca="false">SUMPRODUCT(D76:G76,$D$21:$G$21)-F162*SUMPRODUCT(D81:G81,$D$21:$G$21)</f>
        <v>84414.2079181897</v>
      </c>
      <c r="G167" s="35" t="n">
        <f aca="false">SUMPRODUCT(D132:G132,$D$21:$G$21)-G162*SUMPRODUCT(D137:G137,$D$21:$G$21)</f>
        <v>96389.3095276418</v>
      </c>
    </row>
    <row r="168" customFormat="false" ht="15" hidden="false" customHeight="true" outlineLevel="0" collapsed="false">
      <c r="A168" s="13" t="s">
        <v>678</v>
      </c>
      <c r="F168" s="35" t="n">
        <f aca="false">F166+F167</f>
        <v>1188767.87379866</v>
      </c>
      <c r="G168" s="35" t="n">
        <f aca="false">G166+G167</f>
        <v>1411779.66863498</v>
      </c>
    </row>
    <row r="169" customFormat="false" ht="15" hidden="false" customHeight="true" outlineLevel="0" collapsed="false">
      <c r="A169" s="13" t="s">
        <v>679</v>
      </c>
      <c r="F169" s="35" t="n">
        <f aca="false">(G76-G74)*Inputs!$C$103*$G$21</f>
        <v>914518.851707404</v>
      </c>
      <c r="G169" s="35" t="n">
        <f aca="false">(G132-G130)*Inputs!$C$103*$G$21</f>
        <v>1089480.3769646</v>
      </c>
    </row>
    <row r="170" customFormat="false" ht="15" hidden="false" customHeight="true" outlineLevel="0" collapsed="false">
      <c r="A170" s="13" t="s">
        <v>680</v>
      </c>
      <c r="F170" s="35" t="n">
        <f aca="false">F167+F169</f>
        <v>998933.059625594</v>
      </c>
      <c r="G170" s="35" t="n">
        <f aca="false">G167+G169</f>
        <v>1185869.68649224</v>
      </c>
    </row>
    <row r="171" customFormat="false" ht="15" hidden="false" customHeight="true" outlineLevel="0" collapsed="false">
      <c r="A171" s="13" t="s">
        <v>681</v>
      </c>
      <c r="F171" s="35" t="n">
        <f aca="false">F168*Inputs!$B$21+F170*(1-Inputs!$B$21)</f>
        <v>1093850.46671213</v>
      </c>
      <c r="G171" s="35" t="n">
        <f aca="false">G168*Inputs!$B$21+G170*(1-Inputs!$B$21)</f>
        <v>1298824.67756361</v>
      </c>
    </row>
    <row r="172" customFormat="false" ht="15" hidden="false" customHeight="true" outlineLevel="0" collapsed="false">
      <c r="A172" s="13" t="s">
        <v>682</v>
      </c>
      <c r="F172" s="16" t="n">
        <f aca="false">IFERROR(F166/F168,0)</f>
        <v>0.928990167232189</v>
      </c>
      <c r="G172" s="16" t="n">
        <f aca="false">IFERROR(G166/G168,0)</f>
        <v>0.93172496270552</v>
      </c>
    </row>
    <row r="173" customFormat="false" ht="15" hidden="false" customHeight="true" outlineLevel="0" collapsed="false">
      <c r="A173" s="13" t="s">
        <v>683</v>
      </c>
      <c r="F173" s="16" t="n">
        <f aca="false">IFERROR(F169/F170,0)</f>
        <v>0.915495630958666</v>
      </c>
      <c r="G173" s="16" t="n">
        <f aca="false">IFERROR(G169/G170,0)</f>
        <v>0.918718464072762</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1231515.18411162</v>
      </c>
      <c r="G176" s="34" t="n">
        <f aca="false">G171+G174+G175</f>
        <v>1436489.3949631</v>
      </c>
    </row>
    <row r="177" customFormat="false" ht="15" hidden="false" customHeight="true" outlineLevel="0" collapsed="false">
      <c r="A177" s="13" t="s">
        <v>687</v>
      </c>
      <c r="F177" s="35" t="n">
        <f aca="false">IF(F182="OK",F176,"unresolved")</f>
        <v>1231515.18411162</v>
      </c>
      <c r="G177" s="35" t="n">
        <f aca="false">IF(G182="OK",G176,"unresolved")</f>
        <v>1436489.3949631</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68.6575822975675</v>
      </c>
      <c r="G179" s="25" t="n">
        <f aca="false">IF(G182="OK",G176/G178,"n/a")</f>
        <v>80.084996211726</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68.6575822975675</v>
      </c>
      <c r="G184" s="25" t="n">
        <f aca="false">IF(NOT(ISNUMBER(G179)),"unresolved",IF(G180=0,G179,(G176+G180/(1+G162)^IF(ISNUMBER(G149),MAX(0,G149-2027),0))/(G178+(G180/(1-Inputs!$B$31))/(G179*(1+G162)^IF(ISNUMBER(G149),MAX(0,G149-2027),0)*(1-0)))))</f>
        <v>80.084996211726</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68.6575822975675</v>
      </c>
      <c r="G185" s="25" t="n">
        <f aca="false">IF(NOT(ISNUMBER(G179)),"unresolved",IF(G180=0,G179,(G176+G180/(1+G162)^IF(ISNUMBER(G149),MAX(0,G149-2027),0))/(G178+(G180/(1-Inputs!$B$31))/(G179*(1+G162)^IF(ISNUMBER(G149),MAX(0,G149-2027),0)*(1-Inputs!$B$30)))))</f>
        <v>80.084996211726</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68.6575822975675</v>
      </c>
      <c r="G186" s="25" t="n">
        <f aca="false">IF(NOT(ISNUMBER(G179)),"unresolved",IF(G180=0,G179,(G176+G180/(1+G162)^IF(ISNUMBER(G149),MAX(0,G149-2027),0))/(G178+(G180/(1-Inputs!$B$31))/(G179*(1+G162)^IF(ISNUMBER(G149),MAX(0,G149-2027),0)*(1-0.3)))))</f>
        <v>80.084996211726</v>
      </c>
    </row>
    <row r="187" customFormat="false" ht="15" hidden="false" customHeight="true" outlineLevel="0" collapsed="false">
      <c r="A187" s="13" t="s">
        <v>696</v>
      </c>
      <c r="F187" s="25" t="n">
        <f aca="false">F185</f>
        <v>68.6575822975675</v>
      </c>
      <c r="G187" s="25" t="n">
        <f aca="false">G185</f>
        <v>80.084996211726</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68.6575822975675</v>
      </c>
      <c r="G189" s="12" t="n">
        <f aca="false">IF(ISNUMBER(G187),G187/(1+Inputs!$B$25)^G188,"unresolved")</f>
        <v>80.084996211726</v>
      </c>
    </row>
    <row r="190" customFormat="false" ht="15" hidden="false" customHeight="true" outlineLevel="0" collapsed="false">
      <c r="A190" s="13" t="s">
        <v>699</v>
      </c>
      <c r="F190" s="25" t="n">
        <f aca="false">IF(F180=0,F189,"unresolved")</f>
        <v>68.6575822975675</v>
      </c>
      <c r="G190" s="25" t="n">
        <f aca="false">IF(G180=0,G189,"unresolved")</f>
        <v>80.084996211726</v>
      </c>
    </row>
    <row r="191" customFormat="false" ht="15" hidden="false" customHeight="true" outlineLevel="0" collapsed="false">
      <c r="A191" s="13" t="s">
        <v>700</v>
      </c>
      <c r="F191" s="35" t="n">
        <f aca="false">IF(ISNUMBER(F179),F176+F180/(1+F162)^IF(ISNUMBER(G93),MAX(0,G93-2027),0),"unresolved")</f>
        <v>1231515.18411162</v>
      </c>
      <c r="G191" s="35" t="n">
        <f aca="false">IF(ISNUMBER(G179),G176+G180/(1+G162)^IF(ISNUMBER(G149),MAX(0,G149-2027),0),"unresolved")</f>
        <v>1436489.3949631</v>
      </c>
    </row>
    <row r="192" customFormat="false" ht="15" hidden="false" customHeight="true" outlineLevel="0" collapsed="false">
      <c r="A192" s="13" t="s">
        <v>701</v>
      </c>
      <c r="F192" s="28" t="n">
        <f aca="false">IFERROR(F191/D49,"n/a")</f>
        <v>11.3520443946722</v>
      </c>
      <c r="G192" s="28" t="n">
        <f aca="false">IFERROR(G191/D105,"n/a")</f>
        <v>13.0073538857541</v>
      </c>
    </row>
    <row r="193" customFormat="false" ht="15" hidden="false" customHeight="true" outlineLevel="0" collapsed="false">
      <c r="A193" s="13" t="s">
        <v>702</v>
      </c>
      <c r="F193" s="25" t="n">
        <f aca="false">(F168+F174)/F178</f>
        <v>73.9492748179618</v>
      </c>
      <c r="G193" s="25" t="n">
        <f aca="false">(G168+G174)/G178</f>
        <v>86.3822929852107</v>
      </c>
    </row>
    <row r="194" customFormat="false" ht="15" hidden="false" customHeight="true" outlineLevel="0" collapsed="false">
      <c r="A194" s="13" t="s">
        <v>703</v>
      </c>
      <c r="F194" s="25" t="n">
        <f aca="false">(F170+F174)/F178</f>
        <v>63.3658897771732</v>
      </c>
      <c r="G194" s="25" t="n">
        <f aca="false">(G170+G174)/G178</f>
        <v>73.7876994382413</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709</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Historicals!F35+(Inputs!$B$5+Inputs!$D$75)</f>
        <v>57242</v>
      </c>
      <c r="D5" s="35" t="n">
        <f aca="false">C5*(1+Inputs!$D$77)</f>
        <v>143105</v>
      </c>
      <c r="E5" s="35" t="n">
        <f aca="false">D5*(1+Inputs!$D$78)</f>
        <v>257589</v>
      </c>
      <c r="F5" s="35" t="n">
        <f aca="false">E5*(1+Inputs!$D$79)</f>
        <v>386383.5</v>
      </c>
      <c r="G5" s="35" t="n">
        <f aca="false">F5*(1+Inputs!$D$80)</f>
        <v>521617.725</v>
      </c>
    </row>
    <row r="6" customFormat="false" ht="15" hidden="false" customHeight="true" outlineLevel="0" collapsed="false">
      <c r="A6" s="13" t="s">
        <v>580</v>
      </c>
      <c r="C6" s="16" t="n">
        <f aca="false">IFERROR(C5/B5-1,0)</f>
        <v>11.4846237731734</v>
      </c>
      <c r="D6" s="16" t="n">
        <f aca="false">IFERROR(D5/C5-1,0)</f>
        <v>1.5</v>
      </c>
      <c r="E6" s="16" t="n">
        <f aca="false">IFERROR(E5/D5-1,0)</f>
        <v>0.8</v>
      </c>
      <c r="F6" s="16" t="n">
        <f aca="false">IFERROR(F5/E5-1,0)</f>
        <v>0.5</v>
      </c>
      <c r="G6" s="16" t="n">
        <f aca="false">IFERROR(G5/F5-1,0)</f>
        <v>0.35</v>
      </c>
    </row>
    <row r="7" customFormat="false" ht="15" hidden="false" customHeight="true" outlineLevel="0" collapsed="false">
      <c r="A7" s="13" t="s">
        <v>581</v>
      </c>
      <c r="B7" s="41" t="n">
        <f aca="false">Historicals!D51</f>
        <v>789</v>
      </c>
      <c r="C7" s="35" t="n">
        <f aca="false">Historicals!F51+(Inputs!$B$5+Inputs!$D$75)*Historicals!F51/Historicals!F35</f>
        <v>11324.6791108928</v>
      </c>
      <c r="D7" s="35" t="n">
        <f aca="false">D5*Inputs!$D$76</f>
        <v>25758.9</v>
      </c>
      <c r="E7" s="35" t="n">
        <f aca="false">E5*Inputs!$D$76</f>
        <v>46366.02</v>
      </c>
      <c r="F7" s="35" t="n">
        <f aca="false">F5*Inputs!$D$76</f>
        <v>69549.03</v>
      </c>
      <c r="G7" s="35" t="n">
        <f aca="false">G5*Inputs!$D$76</f>
        <v>93891.1905</v>
      </c>
    </row>
    <row r="8" customFormat="false" ht="15" hidden="false" customHeight="true" outlineLevel="0" collapsed="false">
      <c r="A8" s="13" t="s">
        <v>582</v>
      </c>
      <c r="B8" s="35" t="n">
        <f aca="false">B5-B7</f>
        <v>3796</v>
      </c>
      <c r="C8" s="35" t="n">
        <f aca="false">C5-C7</f>
        <v>45917.3208891072</v>
      </c>
      <c r="D8" s="35" t="n">
        <f aca="false">D5-D7</f>
        <v>117346.1</v>
      </c>
      <c r="E8" s="35" t="n">
        <f aca="false">E5-E7</f>
        <v>211222.98</v>
      </c>
      <c r="F8" s="35" t="n">
        <f aca="false">F5-F7</f>
        <v>316834.47</v>
      </c>
      <c r="G8" s="35" t="n">
        <f aca="false">G5-G7</f>
        <v>427726.5345</v>
      </c>
    </row>
    <row r="9" customFormat="false" ht="15" hidden="false" customHeight="true" outlineLevel="0" collapsed="false">
      <c r="A9" s="13" t="s">
        <v>583</v>
      </c>
      <c r="C9" s="35" t="n">
        <f aca="false">Historicals!F36+Historicals!H6+Inputs!$D$75*Inputs!$D$81</f>
        <v>28888</v>
      </c>
      <c r="D9" s="35" t="n">
        <f aca="false">(C9-Inputs!$D$113)*(1+Inputs!$D$82)</f>
        <v>54887.2</v>
      </c>
      <c r="E9" s="35" t="n">
        <f aca="false">D9*(1+Inputs!$D$83)</f>
        <v>87819.52</v>
      </c>
      <c r="F9" s="35" t="n">
        <f aca="false">E9*(1+Inputs!$D$84)</f>
        <v>127338.304</v>
      </c>
      <c r="G9" s="35" t="n">
        <f aca="false">F9*(1+Inputs!$D$85)</f>
        <v>165539.7952</v>
      </c>
    </row>
    <row r="10" customFormat="false" ht="15" hidden="false" customHeight="true" outlineLevel="0" collapsed="false">
      <c r="A10" s="13" t="s">
        <v>219</v>
      </c>
      <c r="B10" s="41" t="n">
        <f aca="false">Historicals!D36</f>
        <v>7326</v>
      </c>
      <c r="C10" s="35" t="n">
        <f aca="false">Historicals!F36+Historicals!H6+MAX(Inputs!$D$75*Inputs!$D$81,Inputs!$D$108*C22)</f>
        <v>28888</v>
      </c>
      <c r="D10" s="35" t="n">
        <f aca="false">MAX(D9,Inputs!$D$108*D22)</f>
        <v>54887.2</v>
      </c>
      <c r="E10" s="35" t="n">
        <f aca="false">MAX(E9,Inputs!$D$108*E22)</f>
        <v>87819.52</v>
      </c>
      <c r="F10" s="35" t="n">
        <f aca="false">MAX(F9,Inputs!$D$108*F22)</f>
        <v>127338.304</v>
      </c>
      <c r="G10" s="35" t="n">
        <f aca="false">MAX(G9,Inputs!$D$108*G22)</f>
        <v>165539.7952</v>
      </c>
    </row>
    <row r="11" customFormat="false" ht="15" hidden="false" customHeight="true" outlineLevel="0" collapsed="false">
      <c r="A11" s="13" t="s">
        <v>220</v>
      </c>
      <c r="B11" s="41" t="n">
        <f aca="false">Historicals!D37</f>
        <v>1839</v>
      </c>
      <c r="C11" s="35" t="n">
        <f aca="false">Historicals!F37+Historicals!H7+Inputs!$D$75*Historicals!H24</f>
        <v>7284.79759377212</v>
      </c>
      <c r="D11" s="35" t="n">
        <f aca="false">D5*Inputs!$D$86</f>
        <v>18603.65</v>
      </c>
      <c r="E11" s="35" t="n">
        <f aca="false">E5*Inputs!$D$87</f>
        <v>30910.68</v>
      </c>
      <c r="F11" s="35" t="n">
        <f aca="false">F5*Inputs!$D$88</f>
        <v>42502.185</v>
      </c>
      <c r="G11" s="35" t="n">
        <f aca="false">G5*Inputs!$D$89</f>
        <v>52161.7725</v>
      </c>
    </row>
    <row r="12" customFormat="false" ht="15" hidden="false" customHeight="true" outlineLevel="0" collapsed="false">
      <c r="A12" s="13" t="s">
        <v>584</v>
      </c>
      <c r="B12" s="41" t="n">
        <f aca="false">Historicals!D49</f>
        <v>1158</v>
      </c>
      <c r="C12" s="35" t="n">
        <f aca="false">Historicals!F49+Historicals!H19+Inputs!$D$75*Historicals!H29</f>
        <v>4769.50813871196</v>
      </c>
      <c r="D12" s="35" t="n">
        <f aca="false">D5*Inputs!$D$90</f>
        <v>11448.4</v>
      </c>
      <c r="E12" s="35" t="n">
        <f aca="false">E5*Inputs!$D$91</f>
        <v>18031.23</v>
      </c>
      <c r="F12" s="35" t="n">
        <f aca="false">F5*Inputs!$D$92</f>
        <v>23183.01</v>
      </c>
      <c r="G12" s="35" t="n">
        <f aca="false">G5*Inputs!$D$93</f>
        <v>26080.88625</v>
      </c>
    </row>
    <row r="13" customFormat="false" ht="15" hidden="false" customHeight="true" outlineLevel="0" collapsed="false">
      <c r="A13" s="13" t="s">
        <v>585</v>
      </c>
      <c r="B13" s="41" t="n">
        <f aca="false">Historicals!D39</f>
        <v>568</v>
      </c>
      <c r="C13" s="35" t="n">
        <f aca="false">Historicals!F39+Historicals!H9+Inputs!$D$75*Historicals!H25</f>
        <v>8870.82590233546</v>
      </c>
      <c r="D13" s="35" t="n">
        <f aca="false">D5*Inputs!$D$94</f>
        <v>22896.8</v>
      </c>
      <c r="E13" s="35" t="n">
        <f aca="false">E5*Inputs!$D$95</f>
        <v>38638.35</v>
      </c>
      <c r="F13" s="35" t="n">
        <f aca="false">F5*Inputs!$D$96</f>
        <v>54093.69</v>
      </c>
      <c r="G13" s="35" t="n">
        <f aca="false">G5*Inputs!$D$97</f>
        <v>67810.30425</v>
      </c>
    </row>
    <row r="14" customFormat="false" ht="15" hidden="false" customHeight="true" outlineLevel="0" collapsed="false">
      <c r="A14" s="13" t="s">
        <v>586</v>
      </c>
      <c r="B14" s="41" t="n">
        <f aca="false">Historicals!D40</f>
        <v>1412</v>
      </c>
      <c r="C14" s="35" t="n">
        <f aca="false">Historicals!F40+Historicals!H10-Inputs!$B$37+Inputs!$D$75*(Historicals!H10-Inputs!$B$37)/Historicals!H5</f>
        <v>5646.31705590941</v>
      </c>
      <c r="D14" s="35" t="n">
        <f aca="false">D5*Inputs!$D$98</f>
        <v>10017.35</v>
      </c>
      <c r="E14" s="35" t="n">
        <f aca="false">E5*Inputs!$D$99</f>
        <v>15455.34</v>
      </c>
      <c r="F14" s="35" t="n">
        <f aca="false">F5*Inputs!$D$100</f>
        <v>19319.175</v>
      </c>
      <c r="G14" s="35" t="n">
        <f aca="false">G5*Inputs!$D$101</f>
        <v>26080.88625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52649.940552017</v>
      </c>
      <c r="D16" s="36" t="n">
        <f aca="false">D10+D11+D13+D14+D15</f>
        <v>106405</v>
      </c>
      <c r="E16" s="36" t="n">
        <f aca="false">E10+E11+E13+E14+E15</f>
        <v>172823.89</v>
      </c>
      <c r="F16" s="36" t="n">
        <f aca="false">F10+F11+F13+F14+F15</f>
        <v>243253.354</v>
      </c>
      <c r="G16" s="36" t="n">
        <f aca="false">G10+G11+G13+G14+G15</f>
        <v>311592.7582</v>
      </c>
    </row>
    <row r="17" customFormat="false" ht="15" hidden="false" customHeight="true" outlineLevel="0" collapsed="false">
      <c r="A17" s="10" t="s">
        <v>588</v>
      </c>
      <c r="B17" s="34" t="n">
        <f aca="false">B5-B16</f>
        <v>-8060</v>
      </c>
      <c r="C17" s="34" t="n">
        <f aca="false">C5-C16</f>
        <v>4592.05944798301</v>
      </c>
      <c r="D17" s="34" t="n">
        <f aca="false">D5-D16</f>
        <v>36700</v>
      </c>
      <c r="E17" s="34" t="n">
        <f aca="false">E5-E16</f>
        <v>84765.11</v>
      </c>
      <c r="F17" s="34" t="n">
        <f aca="false">F5-F16</f>
        <v>143130.146</v>
      </c>
      <c r="G17" s="34" t="n">
        <f aca="false">G5-G16</f>
        <v>210024.9668</v>
      </c>
    </row>
    <row r="18" customFormat="false" ht="15" hidden="false" customHeight="true" outlineLevel="0" collapsed="false">
      <c r="A18" s="13" t="s">
        <v>589</v>
      </c>
      <c r="B18" s="16" t="n">
        <f aca="false">IFERROR(B17/B5,0)</f>
        <v>-1.75790621592148</v>
      </c>
      <c r="C18" s="16" t="n">
        <f aca="false">IFERROR(C17/C5,0)</f>
        <v>0.080221855420548</v>
      </c>
      <c r="D18" s="16" t="n">
        <f aca="false">IFERROR(D17/D5,0)</f>
        <v>0.256455050487404</v>
      </c>
      <c r="E18" s="16" t="n">
        <f aca="false">IFERROR(E17/E5,0)</f>
        <v>0.329071155988804</v>
      </c>
      <c r="F18" s="16" t="n">
        <f aca="false">IFERROR(F17/F5,0)</f>
        <v>0.370435450789177</v>
      </c>
      <c r="G18" s="16" t="n">
        <f aca="false">IFERROR(G17/G5,0)</f>
        <v>0.402641545204393</v>
      </c>
    </row>
    <row r="19" customFormat="false" ht="15" hidden="false" customHeight="true" outlineLevel="0" collapsed="false">
      <c r="A19" s="13" t="s">
        <v>590</v>
      </c>
      <c r="B19" s="16" t="n">
        <f aca="false">IFERROR(B10/B5,0)</f>
        <v>1.59781897491821</v>
      </c>
      <c r="C19" s="16" t="n">
        <f aca="false">IFERROR(C10/C5,0)</f>
        <v>0.504664407253415</v>
      </c>
      <c r="D19" s="16" t="n">
        <f aca="false">IFERROR(D10/D5,0)</f>
        <v>0.383544949512596</v>
      </c>
      <c r="E19" s="16" t="n">
        <f aca="false">IFERROR(E10/E5,0)</f>
        <v>0.340928844011196</v>
      </c>
      <c r="F19" s="16" t="n">
        <f aca="false">IFERROR(F10/F5,0)</f>
        <v>0.329564549210823</v>
      </c>
      <c r="G19" s="16" t="n">
        <f aca="false">IFERROR(G10/G5,0)</f>
        <v>0.317358454795607</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1/(1+Inputs!$B$19+Inputs!$D$104)^1</f>
        <v>0.892857142857143</v>
      </c>
      <c r="E21" s="53" t="n">
        <f aca="false">1/(1+Inputs!$B$19+Inputs!$D$104)^2</f>
        <v>0.79719387755102</v>
      </c>
      <c r="F21" s="53" t="n">
        <f aca="false">1/(1+Inputs!$B$19+Inputs!$D$104)^3</f>
        <v>0.711780247813411</v>
      </c>
      <c r="G21" s="53" t="n">
        <f aca="false">1/(1+Inputs!$B$19+Inputs!$D$104)^4</f>
        <v>0.635518078404831</v>
      </c>
    </row>
    <row r="22" customFormat="false" ht="15" hidden="false" customHeight="true" outlineLevel="0" collapsed="false">
      <c r="A22" s="13" t="s">
        <v>593</v>
      </c>
      <c r="C22" s="35" t="n">
        <f aca="false">Inputs!B$69+Inputs!$B$47*Inputs!$B$46</f>
        <v>11231</v>
      </c>
      <c r="D22" s="35" t="n">
        <f aca="false">Inputs!C$69+Inputs!$B$47*(1-Inputs!$B$46)+Inputs!$B$70*Inputs!$D$109</f>
        <v>97550</v>
      </c>
      <c r="E22" s="35" t="n">
        <f aca="false">Inputs!D$69+Inputs!$B$70*Inputs!$D$110</f>
        <v>107338.25</v>
      </c>
      <c r="F22" s="35" t="n">
        <f aca="false">Inputs!E$69+Inputs!$B$70*Inputs!$D$111</f>
        <v>117031.375</v>
      </c>
      <c r="G22" s="35" t="n">
        <f aca="false">Inputs!F$69+Inputs!$B$70*Inputs!$D$112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Inputs!$D$118</f>
        <v>0.04</v>
      </c>
      <c r="E24" s="19" t="n">
        <f aca="false">Inputs!$D$119</f>
        <v>0.1</v>
      </c>
      <c r="F24" s="19" t="n">
        <f aca="false">Inputs!$D$120</f>
        <v>0.18</v>
      </c>
      <c r="G24" s="19" t="n">
        <f aca="false">Inputs!$D$121</f>
        <v>0.25</v>
      </c>
    </row>
    <row r="25" customFormat="false" ht="15" hidden="false" customHeight="true" outlineLevel="0" collapsed="false">
      <c r="A25" s="13" t="s">
        <v>596</v>
      </c>
      <c r="C25" s="35" t="n">
        <f aca="false">C5*C24</f>
        <v>0</v>
      </c>
      <c r="D25" s="35" t="n">
        <f aca="false">D5*D24</f>
        <v>5724.2</v>
      </c>
      <c r="E25" s="35" t="n">
        <f aca="false">E5*E24</f>
        <v>25758.9</v>
      </c>
      <c r="F25" s="35" t="n">
        <f aca="false">F5*F24</f>
        <v>69549.03</v>
      </c>
      <c r="G25" s="35" t="n">
        <f aca="false">G5*G24</f>
        <v>130404.43125</v>
      </c>
    </row>
    <row r="26" customFormat="false" ht="15" hidden="false" customHeight="true" outlineLevel="0" collapsed="false">
      <c r="A26" s="13" t="s">
        <v>597</v>
      </c>
      <c r="C26" s="54" t="n">
        <f aca="false">Inputs!$D$122</f>
        <v>12</v>
      </c>
      <c r="D26" s="54" t="n">
        <f aca="false">Inputs!$D$122</f>
        <v>12</v>
      </c>
      <c r="E26" s="54" t="n">
        <f aca="false">Inputs!$D$122</f>
        <v>12</v>
      </c>
      <c r="F26" s="54" t="n">
        <f aca="false">Inputs!$D$122</f>
        <v>12</v>
      </c>
      <c r="G26" s="54" t="n">
        <f aca="false">Inputs!$D$122</f>
        <v>12</v>
      </c>
    </row>
    <row r="27" customFormat="false" ht="15" hidden="false" customHeight="true" outlineLevel="0" collapsed="false">
      <c r="A27" s="13" t="s">
        <v>598</v>
      </c>
      <c r="C27" s="35" t="n">
        <f aca="false">C25*C26</f>
        <v>0</v>
      </c>
      <c r="D27" s="35" t="n">
        <f aca="false">D25*D26</f>
        <v>68690.4</v>
      </c>
      <c r="E27" s="35" t="n">
        <f aca="false">E25*E26</f>
        <v>309106.8</v>
      </c>
      <c r="F27" s="35" t="n">
        <f aca="false">F25*F26</f>
        <v>834588.36</v>
      </c>
      <c r="G27" s="35" t="n">
        <f aca="false">G25*G26</f>
        <v>1564853.175</v>
      </c>
    </row>
    <row r="28" customFormat="false" ht="15" hidden="false" customHeight="true" outlineLevel="0" collapsed="false">
      <c r="A28" s="13" t="s">
        <v>599</v>
      </c>
      <c r="C28" s="19" t="n">
        <f aca="false">Inputs!$D$123</f>
        <v>0.2</v>
      </c>
      <c r="D28" s="19" t="n">
        <f aca="false">Inputs!$D$123</f>
        <v>0.2</v>
      </c>
      <c r="E28" s="19" t="n">
        <f aca="false">Inputs!$D$123</f>
        <v>0.2</v>
      </c>
      <c r="F28" s="19" t="n">
        <f aca="false">Inputs!$D$123</f>
        <v>0.2</v>
      </c>
      <c r="G28" s="19" t="n">
        <f aca="false">Inputs!$D$123</f>
        <v>0.2</v>
      </c>
    </row>
    <row r="29" customFormat="false" ht="15" hidden="false" customHeight="true" outlineLevel="0" collapsed="false">
      <c r="A29" s="10" t="s">
        <v>600</v>
      </c>
      <c r="C29" s="36" t="n">
        <f aca="false">C27*C28</f>
        <v>0</v>
      </c>
      <c r="D29" s="36" t="n">
        <f aca="false">D27*D28</f>
        <v>13738.08</v>
      </c>
      <c r="E29" s="36" t="n">
        <f aca="false">E27*E28</f>
        <v>61821.36</v>
      </c>
      <c r="F29" s="36" t="n">
        <f aca="false">F27*F28</f>
        <v>166917.672</v>
      </c>
      <c r="G29" s="36" t="n">
        <f aca="false">G27*G28</f>
        <v>312970.635</v>
      </c>
    </row>
    <row r="30" customFormat="false" ht="15" hidden="false" customHeight="true" outlineLevel="0" collapsed="false">
      <c r="A30" s="13" t="s">
        <v>601</v>
      </c>
      <c r="C30" s="35" t="n">
        <f aca="false">C25*Inputs!$D$124</f>
        <v>0</v>
      </c>
      <c r="D30" s="35" t="n">
        <f aca="false">D25*Inputs!$D$124</f>
        <v>1144.84</v>
      </c>
      <c r="E30" s="35" t="n">
        <f aca="false">E25*Inputs!$D$124</f>
        <v>5151.78</v>
      </c>
      <c r="F30" s="35" t="n">
        <f aca="false">F25*Inputs!$D$124</f>
        <v>13909.806</v>
      </c>
      <c r="G30" s="35" t="n">
        <f aca="false">G25*Inputs!$D$124</f>
        <v>26080.88625</v>
      </c>
    </row>
    <row r="31" customFormat="false" ht="15" hidden="false" customHeight="true" outlineLevel="0" collapsed="false">
      <c r="A31" s="13" t="s">
        <v>602</v>
      </c>
      <c r="C31" s="35" t="n">
        <f aca="false">C29-C30</f>
        <v>0</v>
      </c>
      <c r="D31" s="35" t="n">
        <f aca="false">D29-D30</f>
        <v>12593.24</v>
      </c>
      <c r="E31" s="35" t="n">
        <f aca="false">E29-E30</f>
        <v>56669.58</v>
      </c>
      <c r="F31" s="35" t="n">
        <f aca="false">F29-F30</f>
        <v>153007.866</v>
      </c>
      <c r="G31" s="35" t="n">
        <f aca="false">G29-G30</f>
        <v>286889.74875</v>
      </c>
    </row>
    <row r="32" customFormat="false" ht="15" hidden="false" customHeight="true" outlineLevel="0" collapsed="false">
      <c r="A32" s="13" t="s">
        <v>603</v>
      </c>
      <c r="C32" s="35" t="n">
        <f aca="false">C29*Inputs!$D$125</f>
        <v>0</v>
      </c>
      <c r="D32" s="35" t="n">
        <f aca="false">D29*Inputs!$D$125</f>
        <v>2060.712</v>
      </c>
      <c r="E32" s="35" t="n">
        <f aca="false">E29*Inputs!$D$125</f>
        <v>9273.204</v>
      </c>
      <c r="F32" s="35" t="n">
        <f aca="false">F29*Inputs!$D$125</f>
        <v>25037.6508</v>
      </c>
      <c r="G32" s="35" t="n">
        <f aca="false">G29*Inputs!$D$125</f>
        <v>46945.59525</v>
      </c>
    </row>
    <row r="33" customFormat="false" ht="15" hidden="false" customHeight="true" outlineLevel="0" collapsed="false">
      <c r="A33" s="13" t="s">
        <v>604</v>
      </c>
      <c r="C33" s="35" t="n">
        <f aca="false">C29*Inputs!$D$126</f>
        <v>0</v>
      </c>
      <c r="D33" s="35" t="n">
        <f aca="false">D29*Inputs!$D$126</f>
        <v>1373.808</v>
      </c>
      <c r="E33" s="35" t="n">
        <f aca="false">E29*Inputs!$D$126</f>
        <v>6182.136</v>
      </c>
      <c r="F33" s="35" t="n">
        <f aca="false">F29*Inputs!$D$126</f>
        <v>16691.7672</v>
      </c>
      <c r="G33" s="35" t="n">
        <f aca="false">G29*Inputs!$D$126</f>
        <v>31297.0635</v>
      </c>
    </row>
    <row r="34" customFormat="false" ht="15" hidden="false" customHeight="true" outlineLevel="0" collapsed="false">
      <c r="A34" s="13" t="s">
        <v>605</v>
      </c>
      <c r="C34" s="35" t="n">
        <f aca="false">C29*Inputs!$D$127</f>
        <v>0</v>
      </c>
      <c r="D34" s="35" t="n">
        <f aca="false">D29*Inputs!$D$127</f>
        <v>1099.0464</v>
      </c>
      <c r="E34" s="35" t="n">
        <f aca="false">E29*Inputs!$D$127</f>
        <v>4945.7088</v>
      </c>
      <c r="F34" s="35" t="n">
        <f aca="false">F29*Inputs!$D$127</f>
        <v>13353.41376</v>
      </c>
      <c r="G34" s="35" t="n">
        <f aca="false">G29*Inputs!$D$127</f>
        <v>25037.6508</v>
      </c>
    </row>
    <row r="35" customFormat="false" ht="15" hidden="false" customHeight="true" outlineLevel="0" collapsed="false">
      <c r="A35" s="10" t="s">
        <v>606</v>
      </c>
      <c r="C35" s="34" t="n">
        <f aca="false">C29-C30-C32-C33-C34</f>
        <v>0</v>
      </c>
      <c r="D35" s="34" t="n">
        <f aca="false">D29-D30-D32-D33-D34</f>
        <v>8059.6736</v>
      </c>
      <c r="E35" s="34" t="n">
        <f aca="false">E29-E30-E32-E33-E34</f>
        <v>36268.5312</v>
      </c>
      <c r="F35" s="34" t="n">
        <f aca="false">F29-F30-F32-F33-F34</f>
        <v>97925.03424</v>
      </c>
      <c r="G35" s="34" t="n">
        <f aca="false">G29-G30-G32-G33-G34</f>
        <v>183609.4392</v>
      </c>
    </row>
    <row r="36" customFormat="false" ht="15" hidden="false" customHeight="true" outlineLevel="0" collapsed="false">
      <c r="A36" s="13" t="s">
        <v>92</v>
      </c>
      <c r="C36" s="55" t="n">
        <f aca="false">IFERROR(C27/Inputs!$B$27,0)</f>
        <v>0</v>
      </c>
      <c r="D36" s="55" t="n">
        <f aca="false">IFERROR(D27/Inputs!$B$27,0)</f>
        <v>0.00171726</v>
      </c>
      <c r="E36" s="55" t="n">
        <f aca="false">IFERROR(E27/Inputs!$B$27,0)</f>
        <v>0.00772767</v>
      </c>
      <c r="F36" s="55" t="n">
        <f aca="false">IFERROR(F27/Inputs!$B$27,0)</f>
        <v>0.020864709</v>
      </c>
      <c r="G36" s="55" t="n">
        <f aca="false">IFERROR(G27/Inputs!$B$27,0)</f>
        <v>0.039121329375</v>
      </c>
    </row>
    <row r="37" customFormat="false" ht="15" hidden="false" customHeight="true" outlineLevel="0" collapsed="false">
      <c r="A37" s="13" t="s">
        <v>607</v>
      </c>
      <c r="C37" s="35" t="n">
        <f aca="false">CHOOSE(Inputs!$B$35,C31*Inputs!B$67,C29*Inputs!$B$36,0)</f>
        <v>0</v>
      </c>
      <c r="D37" s="35" t="n">
        <f aca="false">CHOOSE(Inputs!$B$35,D31*Inputs!C$67,D29*Inputs!$B$36,0)</f>
        <v>503.7296</v>
      </c>
      <c r="E37" s="35" t="n">
        <f aca="false">CHOOSE(Inputs!$B$35,E31*Inputs!D$67,E29*Inputs!$B$36,0)</f>
        <v>2833.479</v>
      </c>
      <c r="F37" s="35" t="n">
        <f aca="false">CHOOSE(Inputs!$B$35,F31*Inputs!E$67,F29*Inputs!$B$36,0)</f>
        <v>7650.3933</v>
      </c>
      <c r="G37" s="35" t="n">
        <f aca="false">CHOOSE(Inputs!$B$35,G31*Inputs!F$67,G29*Inputs!$B$36,0)</f>
        <v>14344.4874375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Inputs!$D$107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28888</v>
      </c>
      <c r="D44" s="35" t="n">
        <f aca="false">D10*Inputs!$B$39</f>
        <v>54887.2</v>
      </c>
      <c r="E44" s="35" t="n">
        <f aca="false">E10*Inputs!$B$39</f>
        <v>87819.52</v>
      </c>
      <c r="F44" s="35" t="n">
        <f aca="false">F10*Inputs!$B$39</f>
        <v>127338.304</v>
      </c>
      <c r="G44" s="35" t="n">
        <f aca="false">G10*Inputs!$B$39</f>
        <v>165539.7952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57242</v>
      </c>
      <c r="D49" s="35" t="n">
        <f aca="false">D5</f>
        <v>143105</v>
      </c>
      <c r="E49" s="35" t="n">
        <f aca="false">E5</f>
        <v>257589</v>
      </c>
      <c r="F49" s="35" t="n">
        <f aca="false">F5</f>
        <v>386383.5</v>
      </c>
      <c r="G49" s="35" t="n">
        <f aca="false">G5</f>
        <v>521617.725</v>
      </c>
    </row>
    <row r="50" customFormat="false" ht="15" hidden="false" customHeight="true" outlineLevel="0" collapsed="false">
      <c r="A50" s="13" t="s">
        <v>588</v>
      </c>
      <c r="C50" s="35" t="n">
        <f aca="false">C17</f>
        <v>4592.05944798301</v>
      </c>
      <c r="D50" s="35" t="n">
        <f aca="false">D17</f>
        <v>36700</v>
      </c>
      <c r="E50" s="35" t="n">
        <f aca="false">E17</f>
        <v>84765.11</v>
      </c>
      <c r="F50" s="35" t="n">
        <f aca="false">F17</f>
        <v>143130.146</v>
      </c>
      <c r="G50" s="35" t="n">
        <f aca="false">G17</f>
        <v>210024.9668</v>
      </c>
    </row>
    <row r="51" customFormat="false" ht="15" hidden="false" customHeight="true" outlineLevel="0" collapsed="false">
      <c r="A51" s="13" t="s">
        <v>617</v>
      </c>
      <c r="C51" s="35" t="n">
        <f aca="false">C5*Inputs!B$67</f>
        <v>1717.26</v>
      </c>
      <c r="D51" s="35" t="n">
        <f aca="false">D5*Inputs!C$67</f>
        <v>5724.2</v>
      </c>
      <c r="E51" s="35" t="n">
        <f aca="false">E5*Inputs!D$67</f>
        <v>12879.45</v>
      </c>
      <c r="F51" s="35" t="n">
        <f aca="false">F5*Inputs!E$67</f>
        <v>19319.175</v>
      </c>
      <c r="G51" s="35" t="n">
        <f aca="false">G5*Inputs!F$67</f>
        <v>26080.88625</v>
      </c>
    </row>
    <row r="52" customFormat="false" ht="15" hidden="false" customHeight="true" outlineLevel="0" collapsed="false">
      <c r="A52" s="13" t="s">
        <v>618</v>
      </c>
      <c r="C52" s="33" t="n">
        <v>0</v>
      </c>
      <c r="D52" s="35" t="n">
        <f aca="false">SUMPRODUCT($D51:D51,--((4-COLUMN($D51:D51))&lt;Inputs!$B$32))/Inputs!$B$32</f>
        <v>1144.84</v>
      </c>
      <c r="E52" s="35" t="n">
        <f aca="false">SUMPRODUCT($D51:E51,--((5-COLUMN($D51:E51))&lt;Inputs!$B$32))/Inputs!$B$32</f>
        <v>3720.73</v>
      </c>
      <c r="F52" s="35" t="n">
        <f aca="false">SUMPRODUCT($D51:F51,--((6-COLUMN($D51:F51))&lt;Inputs!$B$32))/Inputs!$B$32</f>
        <v>7584.565</v>
      </c>
      <c r="G52" s="35" t="n">
        <f aca="false">SUMPRODUCT($D51:G51,--((7-COLUMN($D51:G51))&lt;Inputs!$B$32))/Inputs!$B$32</f>
        <v>12800.74225</v>
      </c>
    </row>
    <row r="53" customFormat="false" ht="15" hidden="false" customHeight="true" outlineLevel="0" collapsed="false">
      <c r="A53" s="10" t="s">
        <v>619</v>
      </c>
      <c r="C53" s="36" t="n">
        <f aca="false">C50-C52</f>
        <v>4592.05944798301</v>
      </c>
      <c r="D53" s="36" t="n">
        <f aca="false">D50-D52</f>
        <v>35555.16</v>
      </c>
      <c r="E53" s="36" t="n">
        <f aca="false">E50-E52</f>
        <v>81044.38</v>
      </c>
      <c r="F53" s="36" t="n">
        <f aca="false">F50-F52</f>
        <v>135545.581</v>
      </c>
      <c r="G53" s="36" t="n">
        <f aca="false">G50-G52</f>
        <v>197224.22455</v>
      </c>
    </row>
    <row r="54" customFormat="false" ht="15" hidden="false" customHeight="true" outlineLevel="0" collapsed="false">
      <c r="A54" s="13" t="s">
        <v>620</v>
      </c>
      <c r="C54" s="16" t="n">
        <f aca="false">IFERROR(C53/C49,0)</f>
        <v>0.080221855420548</v>
      </c>
      <c r="D54" s="16" t="n">
        <f aca="false">IFERROR(D53/D49,0)</f>
        <v>0.248455050487404</v>
      </c>
      <c r="E54" s="16" t="n">
        <f aca="false">IFERROR(E53/E49,0)</f>
        <v>0.314626711544359</v>
      </c>
      <c r="F54" s="16" t="n">
        <f aca="false">IFERROR(F53/F49,0)</f>
        <v>0.350805821159547</v>
      </c>
      <c r="G54" s="16" t="n">
        <f aca="false">IFERROR(G53/G49,0)</f>
        <v>0.378101078812075</v>
      </c>
    </row>
    <row r="55" customFormat="false" ht="15" hidden="false" customHeight="true" outlineLevel="0" collapsed="false">
      <c r="A55" s="13" t="s">
        <v>621</v>
      </c>
      <c r="C55" s="35" t="n">
        <f aca="false">Historicals!F43+Historicals!H13+C80*Inputs!$B$20/4</f>
        <v>3183.03125</v>
      </c>
      <c r="D55" s="35" t="n">
        <f aca="false">MAX(0,D80-D81)*Inputs!$B$20</f>
        <v>3475.30020584473</v>
      </c>
      <c r="E55" s="35" t="n">
        <f aca="false">MAX(0,E80-E81)*Inputs!$B$20</f>
        <v>4401.35933778725</v>
      </c>
      <c r="F55" s="35" t="n">
        <f aca="false">MAX(0,F80-F81)*Inputs!$B$20</f>
        <v>6237.82313490555</v>
      </c>
      <c r="G55" s="35" t="n">
        <f aca="false">MAX(0,G80-G81)*Inputs!$B$20</f>
        <v>9203.28576616203</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7775.09069798301</v>
      </c>
      <c r="D58" s="35" t="n">
        <f aca="false">D53+D55+D56-D57</f>
        <v>39030.4602058447</v>
      </c>
      <c r="E58" s="35" t="n">
        <f aca="false">E53+E55+E56-E57</f>
        <v>85445.7393377872</v>
      </c>
      <c r="F58" s="35" t="n">
        <f aca="false">F53+F55+F56-F57</f>
        <v>141783.404134906</v>
      </c>
      <c r="G58" s="35" t="n">
        <f aca="false">G53+G55+G56-G57</f>
        <v>206427.510316162</v>
      </c>
    </row>
    <row r="59" customFormat="false" ht="15" hidden="false" customHeight="true" outlineLevel="0" collapsed="false">
      <c r="A59" s="13" t="s">
        <v>625</v>
      </c>
      <c r="C59" s="35" t="n">
        <f aca="false">C58*Inputs!$B$58</f>
        <v>5598.06530254777</v>
      </c>
      <c r="D59" s="35" t="n">
        <f aca="false">D58*Inputs!$B$58</f>
        <v>28101.9313482082</v>
      </c>
      <c r="E59" s="35" t="n">
        <f aca="false">E58*Inputs!$B$58</f>
        <v>61520.9323232068</v>
      </c>
      <c r="F59" s="35" t="n">
        <f aca="false">F58*Inputs!$B$58</f>
        <v>102084.050977132</v>
      </c>
      <c r="G59" s="35" t="n">
        <f aca="false">G58*Inputs!$B$58</f>
        <v>148627.807427637</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335.883918152866</v>
      </c>
      <c r="D63" s="35" t="n">
        <f aca="false">MAX(0,D59-D61)*Inputs!$B$59</f>
        <v>1434.11588089249</v>
      </c>
      <c r="E63" s="35" t="n">
        <f aca="false">MAX(0,E59-E61)*Inputs!$B$59</f>
        <v>3691.25593939241</v>
      </c>
      <c r="F63" s="35" t="n">
        <f aca="false">MAX(0,F59-F61)*Inputs!$B$59</f>
        <v>6125.04305862792</v>
      </c>
      <c r="G63" s="35" t="n">
        <f aca="false">MAX(0,G59-G61)*Inputs!$B$59</f>
        <v>8917.6684456582</v>
      </c>
    </row>
    <row r="64" customFormat="false" ht="15" hidden="false" customHeight="true" outlineLevel="0" collapsed="false">
      <c r="A64" s="13" t="s">
        <v>630</v>
      </c>
      <c r="C64" s="35" t="n">
        <f aca="false">C58-C63</f>
        <v>7439.20677983015</v>
      </c>
      <c r="D64" s="35" t="n">
        <f aca="false">D58-D63</f>
        <v>37596.3443249522</v>
      </c>
      <c r="E64" s="35" t="n">
        <f aca="false">E58-E63</f>
        <v>81754.4833983948</v>
      </c>
      <c r="F64" s="35" t="n">
        <f aca="false">F58-F63</f>
        <v>135658.361076278</v>
      </c>
      <c r="G64" s="35" t="n">
        <f aca="false">G58-G63</f>
        <v>197509.841870504</v>
      </c>
    </row>
    <row r="65" customFormat="false" ht="15" hidden="false" customHeight="true" outlineLevel="0" collapsed="false">
      <c r="A65" s="13" t="s">
        <v>631</v>
      </c>
      <c r="C65" s="35" t="n">
        <f aca="false">Inputs!$B$56</f>
        <v>8200</v>
      </c>
      <c r="D65" s="35" t="n">
        <f aca="false">C67</f>
        <v>2248.63457613588</v>
      </c>
      <c r="E65" s="35" t="n">
        <f aca="false">D67</f>
        <v>0</v>
      </c>
      <c r="F65" s="35" t="n">
        <f aca="false">E67</f>
        <v>0</v>
      </c>
      <c r="G65" s="35" t="n">
        <f aca="false">F67</f>
        <v>0</v>
      </c>
    </row>
    <row r="66" customFormat="false" ht="15" hidden="false" customHeight="true" outlineLevel="0" collapsed="false">
      <c r="A66" s="13" t="s">
        <v>632</v>
      </c>
      <c r="C66" s="35" t="n">
        <f aca="false">MIN(C65,Inputs!$B$57*MAX(0,C64))</f>
        <v>5951.36542386412</v>
      </c>
      <c r="D66" s="35" t="n">
        <f aca="false">MIN(D65,Inputs!$B$57*MAX(0,D64))</f>
        <v>2248.63457613588</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2248.63457613588</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312.446684752866</v>
      </c>
      <c r="D68" s="35" t="n">
        <f aca="false">MAX(0,D64-D66)*Inputs!$B$55</f>
        <v>7423.01904725143</v>
      </c>
      <c r="E68" s="35" t="n">
        <f aca="false">MAX(0,E64-E66)*Inputs!$B$55</f>
        <v>17168.4415136629</v>
      </c>
      <c r="F68" s="35" t="n">
        <f aca="false">MAX(0,F64-F66)*Inputs!$B$55</f>
        <v>28488.2558260183</v>
      </c>
      <c r="G68" s="35" t="n">
        <f aca="false">MAX(0,G64-G66)*Inputs!$B$55</f>
        <v>41477.0667928058</v>
      </c>
    </row>
    <row r="69" customFormat="false" ht="15" hidden="false" customHeight="true" outlineLevel="0" collapsed="false">
      <c r="A69" s="10" t="s">
        <v>635</v>
      </c>
      <c r="C69" s="36" t="n">
        <f aca="false">IF(Inputs!$D$105=0,MAX(0,C53+C55)*Inputs!B$66,IF(Inputs!$D$105=2,MAX(0,C58)*Inputs!$D$106,C63+C68))</f>
        <v>648.330602905732</v>
      </c>
      <c r="D69" s="36" t="n">
        <f aca="false">IF(Inputs!$D$105=0,MAX(0,D53+D55)*Inputs!C$66,IF(Inputs!$D$105=2,MAX(0,D58)*Inputs!$D$106,D63+D68))</f>
        <v>8857.13492814393</v>
      </c>
      <c r="E69" s="36" t="n">
        <f aca="false">IF(Inputs!$D$105=0,MAX(0,E53+E55)*Inputs!D$66,IF(Inputs!$D$105=2,MAX(0,E58)*Inputs!$D$106,E63+E68))</f>
        <v>20859.6974530553</v>
      </c>
      <c r="F69" s="36" t="n">
        <f aca="false">IF(Inputs!$D$105=0,MAX(0,F53+F55)*Inputs!E$66,IF(Inputs!$D$105=2,MAX(0,F58)*Inputs!$D$106,F63+F68))</f>
        <v>34613.2988846462</v>
      </c>
      <c r="G69" s="36" t="n">
        <f aca="false">IF(Inputs!$D$105=0,MAX(0,G53+G55)*Inputs!F$66,IF(Inputs!$D$105=2,MAX(0,G58)*Inputs!$D$106,G63+G68))</f>
        <v>50394.735238464</v>
      </c>
    </row>
    <row r="70" customFormat="false" ht="15" hidden="false" customHeight="true" outlineLevel="0" collapsed="false">
      <c r="A70" s="13" t="s">
        <v>636</v>
      </c>
      <c r="C70" s="16" t="n">
        <f aca="false">IF(C58&gt;0,MIN(1,C69/C58),0)</f>
        <v>0.0833856</v>
      </c>
      <c r="D70" s="16" t="n">
        <f aca="false">IF(D58&gt;0,MIN(1,D69/D58),0)</f>
        <v>0.226928785400731</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7126.76009507728</v>
      </c>
      <c r="D71" s="35" t="n">
        <f aca="false">D53+D55-D69</f>
        <v>30173.3252777008</v>
      </c>
      <c r="E71" s="35" t="n">
        <f aca="false">E53+E55-E69</f>
        <v>64586.0418847319</v>
      </c>
      <c r="F71" s="35" t="n">
        <f aca="false">F53+F55-F69</f>
        <v>107170.105250259</v>
      </c>
      <c r="G71" s="35" t="n">
        <f aca="false">G53+G55-G69</f>
        <v>156032.775077698</v>
      </c>
    </row>
    <row r="72" customFormat="false" ht="15" hidden="false" customHeight="true" outlineLevel="0" collapsed="false">
      <c r="A72" s="13" t="s">
        <v>638</v>
      </c>
      <c r="C72" s="35" t="n">
        <f aca="false">C12+C20</f>
        <v>6855.50813871196</v>
      </c>
      <c r="D72" s="35" t="n">
        <f aca="false">D12+D20</f>
        <v>11448.4</v>
      </c>
      <c r="E72" s="35" t="n">
        <f aca="false">E12+E20</f>
        <v>18031.23</v>
      </c>
      <c r="F72" s="35" t="n">
        <f aca="false">F12+F20</f>
        <v>23183.01</v>
      </c>
      <c r="G72" s="35" t="n">
        <f aca="false">G12+G20</f>
        <v>26080.88625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12265.0082337892</v>
      </c>
      <c r="D75" s="36" t="n">
        <f aca="false">D53+D72+D52+D55-D69-D51+D73+D74</f>
        <v>37042.3652777008</v>
      </c>
      <c r="E75" s="36" t="n">
        <f aca="false">E53+E72+E52+E55-E69-E51+E73+E74</f>
        <v>73458.5518847319</v>
      </c>
      <c r="F75" s="36" t="n">
        <f aca="false">F53+F72+F52+F55-F69-F51+F73+F74</f>
        <v>118618.505250259</v>
      </c>
      <c r="G75" s="36" t="n">
        <f aca="false">G53+G72+G52+G55-G69-G51+G73+G74</f>
        <v>168833.517327698</v>
      </c>
    </row>
    <row r="76" customFormat="false" ht="15" hidden="false" customHeight="true" outlineLevel="0" collapsed="false">
      <c r="A76" s="10" t="s">
        <v>642</v>
      </c>
      <c r="C76" s="36" t="n">
        <f aca="false">C53+C52-(C69-C55*C70)-C51+C73+C74</f>
        <v>2491.88781567728</v>
      </c>
      <c r="D76" s="36" t="n">
        <f aca="false">D53+D52-(D69-D55*D70)-D51+D73+D74</f>
        <v>22907.3107264713</v>
      </c>
      <c r="E76" s="36" t="n">
        <f aca="false">E53+E52-(E69-E55*E70)-E51+E73+E74</f>
        <v>52100.45759936</v>
      </c>
      <c r="F76" s="36" t="n">
        <f aca="false">F53+F52-(F69-F55*F70)-F51+F73+F74</f>
        <v>90720.499401632</v>
      </c>
      <c r="G76" s="36" t="n">
        <f aca="false">G53+G52-(G69-G55*G70)-G51+G73+G74</f>
        <v>135796.125059058</v>
      </c>
    </row>
    <row r="77" customFormat="false" ht="15" hidden="false" customHeight="true" outlineLevel="0" collapsed="false">
      <c r="A77" s="13" t="s">
        <v>643</v>
      </c>
      <c r="C77" s="16" t="n">
        <f aca="false">IFERROR(C76/C49,0)</f>
        <v>0.0435325078731924</v>
      </c>
      <c r="D77" s="16" t="n">
        <f aca="false">IFERROR(D76/D49,0)</f>
        <v>0.16007344765362</v>
      </c>
      <c r="E77" s="16" t="n">
        <f aca="false">IFERROR(E76/E49,0)</f>
        <v>0.202261966152902</v>
      </c>
      <c r="F77" s="16" t="n">
        <f aca="false">IFERROR(F76/F49,0)</f>
        <v>0.234793927281139</v>
      </c>
      <c r="G77" s="16" t="n">
        <f aca="false">IFERROR(G76/G49,0)</f>
        <v>0.260336485036159</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139012.008233789</v>
      </c>
      <c r="E80" s="35" t="n">
        <f aca="false">D85</f>
        <v>176054.37351149</v>
      </c>
      <c r="F80" s="35" t="n">
        <f aca="false">E85</f>
        <v>249512.925396222</v>
      </c>
      <c r="G80" s="35" t="n">
        <f aca="false">F85</f>
        <v>368131.430646481</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7167.00823378924</v>
      </c>
      <c r="D82" s="35" t="n">
        <f aca="false">D75</f>
        <v>37042.3652777008</v>
      </c>
      <c r="E82" s="35" t="n">
        <f aca="false">E75</f>
        <v>73458.5518847319</v>
      </c>
      <c r="F82" s="35" t="n">
        <f aca="false">F75</f>
        <v>118618.505250259</v>
      </c>
      <c r="G82" s="35" t="n">
        <f aca="false">G75</f>
        <v>168833.517327698</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139012.008233789</v>
      </c>
      <c r="D85" s="36" t="n">
        <f aca="false">D80+D82+D83+D84</f>
        <v>176054.37351149</v>
      </c>
      <c r="E85" s="36" t="n">
        <f aca="false">E80+E82+E83+E84</f>
        <v>249512.925396222</v>
      </c>
      <c r="F85" s="36" t="n">
        <f aca="false">F80+F82+F83+F84</f>
        <v>368131.430646481</v>
      </c>
      <c r="G85" s="36" t="n">
        <f aca="false">G80+G82+G83+G84</f>
        <v>536964.947974179</v>
      </c>
    </row>
    <row r="86" customFormat="false" ht="15" hidden="false" customHeight="true" outlineLevel="0" collapsed="false">
      <c r="A86" s="13" t="s">
        <v>653</v>
      </c>
      <c r="C86" s="35" t="n">
        <f aca="false">MIN(C80-C81,C85)</f>
        <v>131845</v>
      </c>
      <c r="D86" s="35" t="n">
        <f aca="false">MIN(D80-D81,D85)</f>
        <v>139012.008233789</v>
      </c>
      <c r="E86" s="35" t="n">
        <f aca="false">MIN(E80-E81,E85)</f>
        <v>176054.37351149</v>
      </c>
      <c r="F86" s="35" t="n">
        <f aca="false">MIN(F80-F81,F85)</f>
        <v>249512.925396222</v>
      </c>
      <c r="G86" s="35" t="n">
        <f aca="false">MIN(G80-G81,G85)</f>
        <v>368131.430646481</v>
      </c>
    </row>
    <row r="87" customFormat="false" ht="15" hidden="false" customHeight="true" outlineLevel="0" collapsed="false">
      <c r="A87" s="13" t="s">
        <v>654</v>
      </c>
      <c r="C87" s="35" t="n">
        <f aca="false">C86-Inputs!$B$29</f>
        <v>126845</v>
      </c>
      <c r="D87" s="35" t="n">
        <f aca="false">D86-Inputs!$B$29</f>
        <v>134012.008233789</v>
      </c>
      <c r="E87" s="35" t="n">
        <f aca="false">E86-Inputs!$B$29</f>
        <v>171054.37351149</v>
      </c>
      <c r="F87" s="35" t="n">
        <f aca="false">F86-Inputs!$B$29</f>
        <v>244512.925396222</v>
      </c>
      <c r="G87" s="35" t="n">
        <f aca="false">G86-Inputs!$B$29</f>
        <v>363131.430646481</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139012.008233789</v>
      </c>
      <c r="D100" s="35" t="n">
        <f aca="false">D85+SUM($C97:D97)+SUM($C98:D98)-SUM($C99:D99)</f>
        <v>176054.37351149</v>
      </c>
      <c r="E100" s="35" t="n">
        <f aca="false">E85+SUM($C97:E97)+SUM($C98:E98)-SUM($C99:E99)</f>
        <v>249512.925396222</v>
      </c>
      <c r="F100" s="35" t="n">
        <f aca="false">F85+SUM($C97:F97)+SUM($C98:F98)-SUM($C99:F99)</f>
        <v>368131.430646481</v>
      </c>
      <c r="G100" s="35" t="n">
        <f aca="false">G85+SUM($C97:G97)+SUM($C98:G98)-SUM($C99:G99)</f>
        <v>536964.947974179</v>
      </c>
    </row>
    <row r="101" customFormat="false" ht="15" hidden="false" customHeight="true" outlineLevel="0" collapsed="false">
      <c r="A101" s="13" t="s">
        <v>668</v>
      </c>
      <c r="C101" s="35" t="n">
        <f aca="false">MIN(C80-C81+0+C97,C100)</f>
        <v>131845</v>
      </c>
      <c r="D101" s="35" t="n">
        <f aca="false">MIN(D80-D81+SUM($C97:C97)+SUM($C98:C98)-SUM($C99:C99)+D97,D100)</f>
        <v>139012.008233789</v>
      </c>
      <c r="E101" s="35" t="n">
        <f aca="false">MIN(E80-E81+SUM($C97:D97)+SUM($C98:D98)-SUM($C99:D99)+E97,E100)</f>
        <v>176054.37351149</v>
      </c>
      <c r="F101" s="35" t="n">
        <f aca="false">MIN(F80-F81+SUM($C97:E97)+SUM($C98:E98)-SUM($C99:E99)+F97,F100)</f>
        <v>249512.925396222</v>
      </c>
      <c r="G101" s="35" t="n">
        <f aca="false">MIN(G80-G81+SUM($C97:F97)+SUM($C98:F98)-SUM($C99:F99)+G97,G100)</f>
        <v>368131.430646481</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57242</v>
      </c>
      <c r="D105" s="35" t="n">
        <f aca="false">D5+D31</f>
        <v>155698.24</v>
      </c>
      <c r="E105" s="35" t="n">
        <f aca="false">E5+E31</f>
        <v>314258.58</v>
      </c>
      <c r="F105" s="35" t="n">
        <f aca="false">F5+F31</f>
        <v>539391.366</v>
      </c>
      <c r="G105" s="35" t="n">
        <f aca="false">G5+G31</f>
        <v>808507.47375</v>
      </c>
    </row>
    <row r="106" customFormat="false" ht="15" hidden="false" customHeight="true" outlineLevel="0" collapsed="false">
      <c r="A106" s="13" t="s">
        <v>588</v>
      </c>
      <c r="C106" s="35" t="n">
        <f aca="false">C17+C35</f>
        <v>4592.05944798301</v>
      </c>
      <c r="D106" s="35" t="n">
        <f aca="false">D17+D35</f>
        <v>44759.6736</v>
      </c>
      <c r="E106" s="35" t="n">
        <f aca="false">E17+E35</f>
        <v>121033.6412</v>
      </c>
      <c r="F106" s="35" t="n">
        <f aca="false">F17+F35</f>
        <v>241055.18024</v>
      </c>
      <c r="G106" s="35" t="n">
        <f aca="false">G17+G35</f>
        <v>393634.406</v>
      </c>
    </row>
    <row r="107" customFormat="false" ht="15" hidden="false" customHeight="true" outlineLevel="0" collapsed="false">
      <c r="A107" s="13" t="s">
        <v>617</v>
      </c>
      <c r="C107" s="35" t="n">
        <f aca="false">C51+C37</f>
        <v>1717.26</v>
      </c>
      <c r="D107" s="35" t="n">
        <f aca="false">D51+D37</f>
        <v>6227.9296</v>
      </c>
      <c r="E107" s="35" t="n">
        <f aca="false">E51+E37</f>
        <v>15712.929</v>
      </c>
      <c r="F107" s="35" t="n">
        <f aca="false">F51+F37</f>
        <v>26969.5683</v>
      </c>
      <c r="G107" s="35" t="n">
        <f aca="false">G51+G37</f>
        <v>40425.3736875</v>
      </c>
    </row>
    <row r="108" customFormat="false" ht="15" hidden="false" customHeight="true" outlineLevel="0" collapsed="false">
      <c r="A108" s="13" t="s">
        <v>618</v>
      </c>
      <c r="C108" s="33" t="n">
        <v>0</v>
      </c>
      <c r="D108" s="35" t="n">
        <f aca="false">SUMPRODUCT($D107:D107,--((4-COLUMN($D107:D107))&lt;Inputs!$B$32))/Inputs!$B$32</f>
        <v>1245.58592</v>
      </c>
      <c r="E108" s="35" t="n">
        <f aca="false">SUMPRODUCT($D107:E107,--((5-COLUMN($D107:E107))&lt;Inputs!$B$32))/Inputs!$B$32</f>
        <v>4388.17172</v>
      </c>
      <c r="F108" s="35" t="n">
        <f aca="false">SUMPRODUCT($D107:F107,--((6-COLUMN($D107:F107))&lt;Inputs!$B$32))/Inputs!$B$32</f>
        <v>9782.08538</v>
      </c>
      <c r="G108" s="35" t="n">
        <f aca="false">SUMPRODUCT($D107:G107,--((7-COLUMN($D107:G107))&lt;Inputs!$B$32))/Inputs!$B$32</f>
        <v>17867.1601175</v>
      </c>
    </row>
    <row r="109" customFormat="false" ht="15" hidden="false" customHeight="true" outlineLevel="0" collapsed="false">
      <c r="A109" s="10" t="s">
        <v>619</v>
      </c>
      <c r="C109" s="36" t="n">
        <f aca="false">C106-C108</f>
        <v>4592.05944798301</v>
      </c>
      <c r="D109" s="36" t="n">
        <f aca="false">D106-D108</f>
        <v>43514.08768</v>
      </c>
      <c r="E109" s="36" t="n">
        <f aca="false">E106-E108</f>
        <v>116645.46948</v>
      </c>
      <c r="F109" s="36" t="n">
        <f aca="false">F106-F108</f>
        <v>231273.09486</v>
      </c>
      <c r="G109" s="36" t="n">
        <f aca="false">G106-G108</f>
        <v>375767.2458825</v>
      </c>
    </row>
    <row r="110" customFormat="false" ht="15" hidden="false" customHeight="true" outlineLevel="0" collapsed="false">
      <c r="A110" s="13" t="s">
        <v>620</v>
      </c>
      <c r="C110" s="16" t="n">
        <f aca="false">IFERROR(C109/C105,0)</f>
        <v>0.080221855420548</v>
      </c>
      <c r="D110" s="16" t="n">
        <f aca="false">IFERROR(D109/D105,0)</f>
        <v>0.279477068462688</v>
      </c>
      <c r="E110" s="16" t="n">
        <f aca="false">IFERROR(E109/E105,0)</f>
        <v>0.371176721666597</v>
      </c>
      <c r="F110" s="16" t="n">
        <f aca="false">IFERROR(F109/F105,0)</f>
        <v>0.428766772028754</v>
      </c>
      <c r="G110" s="16" t="n">
        <f aca="false">IFERROR(G109/G105,0)</f>
        <v>0.464766570604011</v>
      </c>
    </row>
    <row r="111" customFormat="false" ht="15" hidden="false" customHeight="true" outlineLevel="0" collapsed="false">
      <c r="A111" s="13" t="s">
        <v>621</v>
      </c>
      <c r="C111" s="35" t="n">
        <f aca="false">Historicals!F43+Historicals!H13+C136*Inputs!$B$20/4</f>
        <v>3183.03125</v>
      </c>
      <c r="D111" s="35" t="n">
        <f aca="false">MAX(0,D136-D137)*Inputs!$B$20</f>
        <v>3475.30020584473</v>
      </c>
      <c r="E111" s="35" t="n">
        <f aca="false">MAX(0,E136-E137)*Inputs!$B$20</f>
        <v>4541.68301037067</v>
      </c>
      <c r="F111" s="35" t="n">
        <f aca="false">MAX(0,F136-F137)*Inputs!$B$20</f>
        <v>6999.39421155071</v>
      </c>
      <c r="G111" s="35" t="n">
        <f aca="false">MAX(0,G136-G137)*Inputs!$B$20</f>
        <v>11651.869960038</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7775.09069798301</v>
      </c>
      <c r="D114" s="35" t="n">
        <f aca="false">D109+D111+D112-D113</f>
        <v>46989.3878858447</v>
      </c>
      <c r="E114" s="35" t="n">
        <f aca="false">E109+E111+E112-E113</f>
        <v>121187.152490371</v>
      </c>
      <c r="F114" s="35" t="n">
        <f aca="false">F109+F111+F112-F113</f>
        <v>238272.489071551</v>
      </c>
      <c r="G114" s="35" t="n">
        <f aca="false">G109+G111+G112-G113</f>
        <v>387419.115842538</v>
      </c>
    </row>
    <row r="115" customFormat="false" ht="15" hidden="false" customHeight="true" outlineLevel="0" collapsed="false">
      <c r="A115" s="13" t="s">
        <v>625</v>
      </c>
      <c r="C115" s="35" t="n">
        <f aca="false">C114*Inputs!$B$58</f>
        <v>5598.06530254777</v>
      </c>
      <c r="D115" s="35" t="n">
        <f aca="false">D114*Inputs!$B$58</f>
        <v>33832.3592778082</v>
      </c>
      <c r="E115" s="35" t="n">
        <f aca="false">E114*Inputs!$B$58</f>
        <v>87254.7497930669</v>
      </c>
      <c r="F115" s="35" t="n">
        <f aca="false">F114*Inputs!$B$58</f>
        <v>171556.192131517</v>
      </c>
      <c r="G115" s="35" t="n">
        <f aca="false">G114*Inputs!$B$58</f>
        <v>278941.763406627</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335.883918152866</v>
      </c>
      <c r="D119" s="35" t="n">
        <f aca="false">MAX(0,D115-D117)*Inputs!$B$59</f>
        <v>1777.94155666849</v>
      </c>
      <c r="E119" s="35" t="n">
        <f aca="false">MAX(0,E115-E117)*Inputs!$B$59</f>
        <v>5235.28498758401</v>
      </c>
      <c r="F119" s="35" t="n">
        <f aca="false">MAX(0,F115-F117)*Inputs!$B$59</f>
        <v>10293.371527891</v>
      </c>
      <c r="G119" s="35" t="n">
        <f aca="false">MAX(0,G115-G117)*Inputs!$B$59</f>
        <v>16736.5058043976</v>
      </c>
    </row>
    <row r="120" customFormat="false" ht="15" hidden="false" customHeight="true" outlineLevel="0" collapsed="false">
      <c r="A120" s="13" t="s">
        <v>630</v>
      </c>
      <c r="C120" s="35" t="n">
        <f aca="false">C114-C119</f>
        <v>7439.20677983015</v>
      </c>
      <c r="D120" s="35" t="n">
        <f aca="false">D114-D119</f>
        <v>45211.4463291762</v>
      </c>
      <c r="E120" s="35" t="n">
        <f aca="false">E114-E119</f>
        <v>115951.867502787</v>
      </c>
      <c r="F120" s="35" t="n">
        <f aca="false">F114-F119</f>
        <v>227979.11754366</v>
      </c>
      <c r="G120" s="35" t="n">
        <f aca="false">G114-G119</f>
        <v>370682.61003814</v>
      </c>
    </row>
    <row r="121" customFormat="false" ht="15" hidden="false" customHeight="true" outlineLevel="0" collapsed="false">
      <c r="A121" s="13" t="s">
        <v>631</v>
      </c>
      <c r="C121" s="35" t="n">
        <f aca="false">Inputs!$B$56</f>
        <v>8200</v>
      </c>
      <c r="D121" s="35" t="n">
        <f aca="false">C123</f>
        <v>2248.63457613588</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5951.36542386412</v>
      </c>
      <c r="D122" s="35" t="n">
        <f aca="false">MIN(D121,Inputs!$B$57*MAX(0,D120))</f>
        <v>2248.63457613588</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2248.63457613588</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312.446684752866</v>
      </c>
      <c r="D124" s="35" t="n">
        <f aca="false">MAX(0,D120-D122)*Inputs!$B$55</f>
        <v>9022.19046813847</v>
      </c>
      <c r="E124" s="35" t="n">
        <f aca="false">MAX(0,E120-E122)*Inputs!$B$55</f>
        <v>24349.8921755852</v>
      </c>
      <c r="F124" s="35" t="n">
        <f aca="false">MAX(0,F120-F122)*Inputs!$B$55</f>
        <v>47875.6146841685</v>
      </c>
      <c r="G124" s="35" t="n">
        <f aca="false">MAX(0,G120-G122)*Inputs!$B$55</f>
        <v>77843.3481080095</v>
      </c>
    </row>
    <row r="125" customFormat="false" ht="15" hidden="false" customHeight="true" outlineLevel="0" collapsed="false">
      <c r="A125" s="10" t="s">
        <v>635</v>
      </c>
      <c r="C125" s="36" t="n">
        <f aca="false">IF(Inputs!$D$105=0,MAX(0,C109+C111)*Inputs!B$66,IF(Inputs!$D$105=2,MAX(0,C114)*Inputs!$D$106,C119+C124))</f>
        <v>648.330602905732</v>
      </c>
      <c r="D125" s="36" t="n">
        <f aca="false">IF(Inputs!$D$105=0,MAX(0,D109+D111)*Inputs!C$66,IF(Inputs!$D$105=2,MAX(0,D114)*Inputs!$D$106,D119+D124))</f>
        <v>10800.132024807</v>
      </c>
      <c r="E125" s="36" t="n">
        <f aca="false">IF(Inputs!$D$105=0,MAX(0,E109+E111)*Inputs!D$66,IF(Inputs!$D$105=2,MAX(0,E114)*Inputs!$D$106,E119+E124))</f>
        <v>29585.1771631692</v>
      </c>
      <c r="F125" s="36" t="n">
        <f aca="false">IF(Inputs!$D$105=0,MAX(0,F109+F111)*Inputs!E$66,IF(Inputs!$D$105=2,MAX(0,F114)*Inputs!$D$106,F119+F124))</f>
        <v>58168.9862120595</v>
      </c>
      <c r="G125" s="36" t="n">
        <f aca="false">IF(Inputs!$D$105=0,MAX(0,G109+G111)*Inputs!F$66,IF(Inputs!$D$105=2,MAX(0,G114)*Inputs!$D$106,G119+G124))</f>
        <v>94579.8539124071</v>
      </c>
    </row>
    <row r="126" customFormat="false" ht="15" hidden="false" customHeight="true" outlineLevel="0" collapsed="false">
      <c r="A126" s="13" t="s">
        <v>636</v>
      </c>
      <c r="C126" s="16" t="n">
        <f aca="false">IF(C114&gt;0,MIN(1,C125/C114),0)</f>
        <v>0.0833856</v>
      </c>
      <c r="D126" s="16" t="n">
        <f aca="false">IF(D114&gt;0,MIN(1,D125/D114),0)</f>
        <v>0.229841939014925</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7126.76009507728</v>
      </c>
      <c r="D127" s="35" t="n">
        <f aca="false">D109+D111-D125</f>
        <v>36189.2558610378</v>
      </c>
      <c r="E127" s="35" t="n">
        <f aca="false">E109+E111-E125</f>
        <v>91601.9753272015</v>
      </c>
      <c r="F127" s="35" t="n">
        <f aca="false">F109+F111-F125</f>
        <v>180103.502859491</v>
      </c>
      <c r="G127" s="35" t="n">
        <f aca="false">G109+G111-G125</f>
        <v>292839.261930131</v>
      </c>
    </row>
    <row r="128" customFormat="false" ht="15" hidden="false" customHeight="true" outlineLevel="0" collapsed="false">
      <c r="A128" s="13" t="s">
        <v>638</v>
      </c>
      <c r="C128" s="35" t="n">
        <f aca="false">C12+C20</f>
        <v>6855.50813871196</v>
      </c>
      <c r="D128" s="35" t="n">
        <f aca="false">D12+D20</f>
        <v>11448.4</v>
      </c>
      <c r="E128" s="35" t="n">
        <f aca="false">E12+E20</f>
        <v>18031.23</v>
      </c>
      <c r="F128" s="35" t="n">
        <f aca="false">F12+F20</f>
        <v>23183.01</v>
      </c>
      <c r="G128" s="35" t="n">
        <f aca="false">G12+G20</f>
        <v>26080.88625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12265.0082337892</v>
      </c>
      <c r="D131" s="36" t="n">
        <f aca="false">D109+D128+D108+D111-D125-D107+D129+D130</f>
        <v>42655.3121810378</v>
      </c>
      <c r="E131" s="36" t="n">
        <f aca="false">E109+E128+E108+E111-E125-E107+E129+E130</f>
        <v>98308.4480472015</v>
      </c>
      <c r="F131" s="36" t="n">
        <f aca="false">F109+F128+F108+F111-F125-F107+F129+F130</f>
        <v>186099.029939491</v>
      </c>
      <c r="G131" s="36" t="n">
        <f aca="false">G109+G128+G108+G111-G125-G107+G129+G130</f>
        <v>296361.934610131</v>
      </c>
    </row>
    <row r="132" customFormat="false" ht="15" hidden="false" customHeight="true" outlineLevel="0" collapsed="false">
      <c r="A132" s="10" t="s">
        <v>642</v>
      </c>
      <c r="C132" s="36" t="n">
        <f aca="false">C109+C108-(C125-C111*C126)-C107+C129+C130</f>
        <v>2491.88781567728</v>
      </c>
      <c r="D132" s="36" t="n">
        <f aca="false">D109+D108-(D125-D111*D126)-D107+D129+D130</f>
        <v>28530.3817131633</v>
      </c>
      <c r="E132" s="36" t="n">
        <f aca="false">E109+E108-(E125-E111*E126)-E107+E129+E130</f>
        <v>76844.2870267866</v>
      </c>
      <c r="F132" s="36" t="n">
        <f aca="false">F109+F108-(F125-F111*F126)-F107+F129+F130</f>
        <v>157625.373838018</v>
      </c>
      <c r="G132" s="36" t="n">
        <f aca="false">G109+G108-(G125-G111*G126)-G107+G129+G130</f>
        <v>261473.726109697</v>
      </c>
    </row>
    <row r="133" customFormat="false" ht="15" hidden="false" customHeight="true" outlineLevel="0" collapsed="false">
      <c r="A133" s="13" t="s">
        <v>643</v>
      </c>
      <c r="C133" s="16" t="n">
        <f aca="false">IFERROR(C132/C105,0)</f>
        <v>0.0435325078731924</v>
      </c>
      <c r="D133" s="16" t="n">
        <f aca="false">IFERROR(D132/D105,0)</f>
        <v>0.183241517137017</v>
      </c>
      <c r="E133" s="16" t="n">
        <f aca="false">IFERROR(E132/E105,0)</f>
        <v>0.244525661087079</v>
      </c>
      <c r="F133" s="16" t="n">
        <f aca="false">IFERROR(F132/F105,0)</f>
        <v>0.292228210857231</v>
      </c>
      <c r="G133" s="16" t="n">
        <f aca="false">IFERROR(G132/G105,0)</f>
        <v>0.323402979686676</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139012.008233789</v>
      </c>
      <c r="E136" s="35" t="n">
        <f aca="false">D141</f>
        <v>181667.320414827</v>
      </c>
      <c r="F136" s="35" t="n">
        <f aca="false">E141</f>
        <v>279975.768462028</v>
      </c>
      <c r="G136" s="35" t="n">
        <f aca="false">F141</f>
        <v>466074.79840152</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7167.00823378924</v>
      </c>
      <c r="D138" s="35" t="n">
        <f aca="false">D131</f>
        <v>42655.3121810378</v>
      </c>
      <c r="E138" s="35" t="n">
        <f aca="false">E131</f>
        <v>98308.4480472015</v>
      </c>
      <c r="F138" s="35" t="n">
        <f aca="false">F131</f>
        <v>186099.029939491</v>
      </c>
      <c r="G138" s="35" t="n">
        <f aca="false">G131</f>
        <v>296361.934610131</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139012.008233789</v>
      </c>
      <c r="D141" s="36" t="n">
        <f aca="false">D136+D138+D139+D140</f>
        <v>181667.320414827</v>
      </c>
      <c r="E141" s="36" t="n">
        <f aca="false">E136+E138+E139+E140</f>
        <v>279975.768462028</v>
      </c>
      <c r="F141" s="36" t="n">
        <f aca="false">F136+F138+F139+F140</f>
        <v>466074.79840152</v>
      </c>
      <c r="G141" s="36" t="n">
        <f aca="false">G136+G138+G139+G140</f>
        <v>762436.733011651</v>
      </c>
    </row>
    <row r="142" customFormat="false" ht="15" hidden="false" customHeight="true" outlineLevel="0" collapsed="false">
      <c r="A142" s="13" t="s">
        <v>653</v>
      </c>
      <c r="C142" s="35" t="n">
        <f aca="false">MIN(C136-C137,C141)</f>
        <v>131845</v>
      </c>
      <c r="D142" s="35" t="n">
        <f aca="false">MIN(D136-D137,D141)</f>
        <v>139012.008233789</v>
      </c>
      <c r="E142" s="35" t="n">
        <f aca="false">MIN(E136-E137,E141)</f>
        <v>181667.320414827</v>
      </c>
      <c r="F142" s="35" t="n">
        <f aca="false">MIN(F136-F137,F141)</f>
        <v>279975.768462028</v>
      </c>
      <c r="G142" s="35" t="n">
        <f aca="false">MIN(G136-G137,G141)</f>
        <v>466074.79840152</v>
      </c>
    </row>
    <row r="143" customFormat="false" ht="15" hidden="false" customHeight="true" outlineLevel="0" collapsed="false">
      <c r="A143" s="13" t="s">
        <v>654</v>
      </c>
      <c r="C143" s="35" t="n">
        <f aca="false">C142-Inputs!$B$29</f>
        <v>126845</v>
      </c>
      <c r="D143" s="35" t="n">
        <f aca="false">D142-Inputs!$B$29</f>
        <v>134012.008233789</v>
      </c>
      <c r="E143" s="35" t="n">
        <f aca="false">E142-Inputs!$B$29</f>
        <v>176667.320414827</v>
      </c>
      <c r="F143" s="35" t="n">
        <f aca="false">F142-Inputs!$B$29</f>
        <v>274975.768462028</v>
      </c>
      <c r="G143" s="35" t="n">
        <f aca="false">G142-Inputs!$B$29</f>
        <v>461074.79840152</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139012.008233789</v>
      </c>
      <c r="D156" s="35" t="n">
        <f aca="false">D141+SUM($C153:D153)+SUM($C154:D154)-SUM($C155:D155)</f>
        <v>181667.320414827</v>
      </c>
      <c r="E156" s="35" t="n">
        <f aca="false">E141+SUM($C153:E153)+SUM($C154:E154)-SUM($C155:E155)</f>
        <v>279975.768462028</v>
      </c>
      <c r="F156" s="35" t="n">
        <f aca="false">F141+SUM($C153:F153)+SUM($C154:F154)-SUM($C155:F155)</f>
        <v>466074.79840152</v>
      </c>
      <c r="G156" s="35" t="n">
        <f aca="false">G141+SUM($C153:G153)+SUM($C154:G154)-SUM($C155:G155)</f>
        <v>762436.733011651</v>
      </c>
    </row>
    <row r="157" customFormat="false" ht="15" hidden="false" customHeight="true" outlineLevel="0" collapsed="false">
      <c r="A157" s="13" t="s">
        <v>668</v>
      </c>
      <c r="C157" s="35" t="n">
        <f aca="false">MIN(C136-C137+0+C153,C156)</f>
        <v>131845</v>
      </c>
      <c r="D157" s="35" t="n">
        <f aca="false">MIN(D136-D137+SUM($C153:C153)+SUM($C154:C154)-SUM($C155:C155)+D153,D156)</f>
        <v>139012.008233789</v>
      </c>
      <c r="E157" s="35" t="n">
        <f aca="false">MIN(E136-E137+SUM($C153:D153)+SUM($C154:D154)-SUM($C155:D155)+E153,E156)</f>
        <v>181667.320414827</v>
      </c>
      <c r="F157" s="35" t="n">
        <f aca="false">MIN(F136-F137+SUM($C153:E153)+SUM($C154:E154)-SUM($C155:E155)+F153,F156)</f>
        <v>279975.768462028</v>
      </c>
      <c r="G157" s="35" t="n">
        <f aca="false">MIN(G136-G137+SUM($C153:F153)+SUM($C154:F154)-SUM($C155:F155)+G153,G156)</f>
        <v>466074.79840152</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Inputs!$B$19+Inputs!$D$104</f>
        <v>0.12</v>
      </c>
      <c r="G162" s="16" t="n">
        <f aca="false">Inputs!$B$19+Inputs!$D$104</f>
        <v>0.12</v>
      </c>
    </row>
    <row r="163" customFormat="false" ht="15" hidden="false" customHeight="true" outlineLevel="0" collapsed="false">
      <c r="A163" s="13" t="s">
        <v>673</v>
      </c>
      <c r="F163" s="35" t="n">
        <f aca="false">G53*(1-G70)</f>
        <v>149076.269059058</v>
      </c>
      <c r="G163" s="35" t="n">
        <f aca="false">G109*(1-G126)</f>
        <v>284031.939679697</v>
      </c>
    </row>
    <row r="164" customFormat="false" ht="15" hidden="false" customHeight="true" outlineLevel="0" collapsed="false">
      <c r="A164" s="13" t="s">
        <v>674</v>
      </c>
      <c r="F164" s="54" t="n">
        <f aca="false">Inputs!$D$102</f>
        <v>35</v>
      </c>
      <c r="G164" s="54" t="n">
        <f aca="false">Inputs!$D$102</f>
        <v>35</v>
      </c>
    </row>
    <row r="165" customFormat="false" ht="15" hidden="false" customHeight="true" outlineLevel="0" collapsed="false">
      <c r="A165" s="13" t="s">
        <v>675</v>
      </c>
      <c r="F165" s="35" t="n">
        <f aca="false">F163*F164</f>
        <v>5217669.41706702</v>
      </c>
      <c r="G165" s="35" t="n">
        <f aca="false">G163*G164</f>
        <v>9941117.8887894</v>
      </c>
    </row>
    <row r="166" customFormat="false" ht="15" hidden="false" customHeight="true" outlineLevel="0" collapsed="false">
      <c r="A166" s="13" t="s">
        <v>676</v>
      </c>
      <c r="F166" s="35" t="n">
        <f aca="false">F165*$G$21</f>
        <v>3315923.24168609</v>
      </c>
      <c r="G166" s="35" t="n">
        <f aca="false">G165*$G$21</f>
        <v>6317760.13787933</v>
      </c>
    </row>
    <row r="167" customFormat="false" ht="15" hidden="false" customHeight="true" outlineLevel="0" collapsed="false">
      <c r="A167" s="13" t="s">
        <v>677</v>
      </c>
      <c r="F167" s="35" t="n">
        <f aca="false">SUMPRODUCT(D76:G76,$D$21:$G$21)-F162*SUMPRODUCT(D81:G81,$D$21:$G$21)</f>
        <v>212861.073819799</v>
      </c>
      <c r="G167" s="35" t="n">
        <f aca="false">SUMPRODUCT(D132:G132,$D$21:$G$21)-G162*SUMPRODUCT(D137:G137,$D$21:$G$21)</f>
        <v>365099.257866258</v>
      </c>
    </row>
    <row r="168" customFormat="false" ht="15" hidden="false" customHeight="true" outlineLevel="0" collapsed="false">
      <c r="A168" s="13" t="s">
        <v>678</v>
      </c>
      <c r="F168" s="35" t="n">
        <f aca="false">F166+F167</f>
        <v>3528784.31550589</v>
      </c>
      <c r="G168" s="35" t="n">
        <f aca="false">G166+G167</f>
        <v>6682859.39574559</v>
      </c>
    </row>
    <row r="169" customFormat="false" ht="15" hidden="false" customHeight="true" outlineLevel="0" collapsed="false">
      <c r="A169" s="13" t="s">
        <v>679</v>
      </c>
      <c r="F169" s="35" t="n">
        <f aca="false">(G76-G74)*Inputs!$D$103*$G$21</f>
        <v>2761628.55847534</v>
      </c>
      <c r="G169" s="35" t="n">
        <f aca="false">(G132-G130)*Inputs!$D$103*$G$21</f>
        <v>5317480.95905875</v>
      </c>
    </row>
    <row r="170" customFormat="false" ht="15" hidden="false" customHeight="true" outlineLevel="0" collapsed="false">
      <c r="A170" s="13" t="s">
        <v>680</v>
      </c>
      <c r="F170" s="35" t="n">
        <f aca="false">F167+F169</f>
        <v>2974489.63229514</v>
      </c>
      <c r="G170" s="35" t="n">
        <f aca="false">G167+G169</f>
        <v>5682580.216925</v>
      </c>
    </row>
    <row r="171" customFormat="false" ht="15" hidden="false" customHeight="true" outlineLevel="0" collapsed="false">
      <c r="A171" s="13" t="s">
        <v>681</v>
      </c>
      <c r="F171" s="35" t="n">
        <f aca="false">F168*Inputs!$B$21+F170*(1-Inputs!$B$21)</f>
        <v>3251636.97390051</v>
      </c>
      <c r="G171" s="35" t="n">
        <f aca="false">G168*Inputs!$B$21+G170*(1-Inputs!$B$21)</f>
        <v>6182719.8063353</v>
      </c>
    </row>
    <row r="172" customFormat="false" ht="15" hidden="false" customHeight="true" outlineLevel="0" collapsed="false">
      <c r="A172" s="13" t="s">
        <v>682</v>
      </c>
      <c r="F172" s="16" t="n">
        <f aca="false">IFERROR(F166/F168,0)</f>
        <v>0.939678638650579</v>
      </c>
      <c r="G172" s="16" t="n">
        <f aca="false">IFERROR(G166/G168,0)</f>
        <v>0.945367807962758</v>
      </c>
    </row>
    <row r="173" customFormat="false" ht="15" hidden="false" customHeight="true" outlineLevel="0" collapsed="false">
      <c r="A173" s="13" t="s">
        <v>683</v>
      </c>
      <c r="F173" s="16" t="n">
        <f aca="false">IFERROR(F169/F170,0)</f>
        <v>0.928437782566566</v>
      </c>
      <c r="G173" s="16" t="n">
        <f aca="false">IFERROR(G169/G170,0)</f>
        <v>0.935751147554619</v>
      </c>
    </row>
    <row r="174" customFormat="false" ht="15" hidden="false" customHeight="true" outlineLevel="0" collapsed="false">
      <c r="A174" s="13" t="s">
        <v>684</v>
      </c>
      <c r="F174" s="35" t="n">
        <f aca="false">C85</f>
        <v>139012.008233789</v>
      </c>
      <c r="G174" s="35" t="n">
        <f aca="false">C141</f>
        <v>139012.008233789</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3390648.9821343</v>
      </c>
      <c r="G176" s="34" t="n">
        <f aca="false">G171+G174+G175</f>
        <v>6321731.81456909</v>
      </c>
    </row>
    <row r="177" customFormat="false" ht="15" hidden="false" customHeight="true" outlineLevel="0" collapsed="false">
      <c r="A177" s="13" t="s">
        <v>687</v>
      </c>
      <c r="F177" s="35" t="n">
        <f aca="false">IF(F182="OK",F176,"unresolved")</f>
        <v>3390648.9821343</v>
      </c>
      <c r="G177" s="35" t="n">
        <f aca="false">IF(G182="OK",G176,"unresolved")</f>
        <v>6321731.81456909</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189.030362383214</v>
      </c>
      <c r="G179" s="25" t="n">
        <f aca="false">IF(G182="OK",G176/G178,"n/a")</f>
        <v>352.43968399385</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189.030362383214</v>
      </c>
      <c r="G184" s="25" t="n">
        <f aca="false">IF(NOT(ISNUMBER(G179)),"unresolved",IF(G180=0,G179,(G176+G180/(1+G162)^IF(ISNUMBER(G149),MAX(0,G149-2027),0))/(G178+(G180/(1-Inputs!$B$31))/(G179*(1+G162)^IF(ISNUMBER(G149),MAX(0,G149-2027),0)*(1-0)))))</f>
        <v>352.43968399385</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189.030362383214</v>
      </c>
      <c r="G185" s="25" t="n">
        <f aca="false">IF(NOT(ISNUMBER(G179)),"unresolved",IF(G180=0,G179,(G176+G180/(1+G162)^IF(ISNUMBER(G149),MAX(0,G149-2027),0))/(G178+(G180/(1-Inputs!$B$31))/(G179*(1+G162)^IF(ISNUMBER(G149),MAX(0,G149-2027),0)*(1-Inputs!$B$30)))))</f>
        <v>352.43968399385</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189.030362383214</v>
      </c>
      <c r="G186" s="25" t="n">
        <f aca="false">IF(NOT(ISNUMBER(G179)),"unresolved",IF(G180=0,G179,(G176+G180/(1+G162)^IF(ISNUMBER(G149),MAX(0,G149-2027),0))/(G178+(G180/(1-Inputs!$B$31))/(G179*(1+G162)^IF(ISNUMBER(G149),MAX(0,G149-2027),0)*(1-0.3)))))</f>
        <v>352.43968399385</v>
      </c>
    </row>
    <row r="187" customFormat="false" ht="15" hidden="false" customHeight="true" outlineLevel="0" collapsed="false">
      <c r="A187" s="13" t="s">
        <v>696</v>
      </c>
      <c r="F187" s="25" t="n">
        <f aca="false">F185</f>
        <v>189.030362383214</v>
      </c>
      <c r="G187" s="25" t="n">
        <f aca="false">G185</f>
        <v>352.43968399385</v>
      </c>
    </row>
    <row r="188" customFormat="false" ht="15" hidden="false" customHeight="true" outlineLevel="0" collapsed="false">
      <c r="A188" s="13" t="s">
        <v>697</v>
      </c>
      <c r="F188" s="51" t="n">
        <f aca="false">IF(AND(ISNUMBER(F187),Inputs!$B$24=1),IF(F187&gt;Inputs!$B$23,INT(LN(F187/Inputs!$B$23)/LN(1+Inputs!$B$26)),0),0)</f>
        <v>2</v>
      </c>
      <c r="G188" s="51" t="n">
        <f aca="false">IF(AND(ISNUMBER(G187),Inputs!$B$24=1),IF(G187&gt;Inputs!$B$23,INT(LN(G187/Inputs!$B$23)/LN(1+Inputs!$B$26)),0),0)</f>
        <v>3</v>
      </c>
    </row>
    <row r="189" customFormat="false" ht="15" hidden="false" customHeight="true" outlineLevel="0" collapsed="false">
      <c r="A189" s="10" t="s">
        <v>698</v>
      </c>
      <c r="F189" s="12" t="n">
        <f aca="false">IF(ISNUMBER(F187),F187/(1+Inputs!$B$25)^F188,"unresolved")</f>
        <v>181.690083028848</v>
      </c>
      <c r="G189" s="12" t="n">
        <f aca="false">IF(ISNUMBER(G187),G187/(1+Inputs!$B$25)^G188,"unresolved")</f>
        <v>332.111785808108</v>
      </c>
    </row>
    <row r="190" customFormat="false" ht="15" hidden="false" customHeight="true" outlineLevel="0" collapsed="false">
      <c r="A190" s="13" t="s">
        <v>699</v>
      </c>
      <c r="F190" s="25" t="n">
        <f aca="false">IF(F180=0,F189,"unresolved")</f>
        <v>181.690083028848</v>
      </c>
      <c r="G190" s="25" t="n">
        <f aca="false">IF(G180=0,G189,"unresolved")</f>
        <v>332.111785808108</v>
      </c>
    </row>
    <row r="191" customFormat="false" ht="15" hidden="false" customHeight="true" outlineLevel="0" collapsed="false">
      <c r="A191" s="13" t="s">
        <v>700</v>
      </c>
      <c r="F191" s="35" t="n">
        <f aca="false">IF(ISNUMBER(F179),F176+F180/(1+F162)^IF(ISNUMBER(G93),MAX(0,G93-2027),0),"unresolved")</f>
        <v>3390648.9821343</v>
      </c>
      <c r="G191" s="35" t="n">
        <f aca="false">IF(ISNUMBER(G179),G176+G180/(1+G162)^IF(ISNUMBER(G149),MAX(0,G149-2027),0),"unresolved")</f>
        <v>6321731.81456909</v>
      </c>
    </row>
    <row r="192" customFormat="false" ht="15" hidden="false" customHeight="true" outlineLevel="0" collapsed="false">
      <c r="A192" s="13" t="s">
        <v>701</v>
      </c>
      <c r="F192" s="28" t="n">
        <f aca="false">IFERROR(F191/D49,"n/a")</f>
        <v>23.6934347656218</v>
      </c>
      <c r="G192" s="28" t="n">
        <f aca="false">IFERROR(G191/D105,"n/a")</f>
        <v>40.6024616242874</v>
      </c>
    </row>
    <row r="193" customFormat="false" ht="15" hidden="false" customHeight="true" outlineLevel="0" collapsed="false">
      <c r="A193" s="13" t="s">
        <v>702</v>
      </c>
      <c r="F193" s="25" t="n">
        <f aca="false">(F168+F174)/F178</f>
        <v>204.48146413195</v>
      </c>
      <c r="G193" s="25" t="n">
        <f aca="false">(G168+G174)/G178</f>
        <v>380.322714153141</v>
      </c>
    </row>
    <row r="194" customFormat="false" ht="15" hidden="false" customHeight="true" outlineLevel="0" collapsed="false">
      <c r="A194" s="13" t="s">
        <v>703</v>
      </c>
      <c r="F194" s="25" t="n">
        <f aca="false">(F170+F174)/F178</f>
        <v>173.579260634477</v>
      </c>
      <c r="G194" s="25" t="n">
        <f aca="false">(G170+G174)/G178</f>
        <v>324.55665383456</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710</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Historicals!F35+(Inputs!$B$5+Inputs!$G$75)</f>
        <v>54242</v>
      </c>
      <c r="D5" s="35" t="n">
        <f aca="false">C5*(1+Inputs!$G$77)</f>
        <v>54242</v>
      </c>
      <c r="E5" s="35" t="n">
        <f aca="false">D5*(1+Inputs!$G$78)</f>
        <v>54242</v>
      </c>
      <c r="F5" s="35" t="n">
        <f aca="false">E5*(1+Inputs!$G$79)</f>
        <v>54242</v>
      </c>
      <c r="G5" s="35" t="n">
        <f aca="false">F5*(1+Inputs!$G$80)</f>
        <v>54242</v>
      </c>
    </row>
    <row r="6" customFormat="false" ht="15" hidden="false" customHeight="true" outlineLevel="0" collapsed="false">
      <c r="A6" s="13" t="s">
        <v>580</v>
      </c>
      <c r="C6" s="16" t="n">
        <f aca="false">IFERROR(C5/B5-1,0)</f>
        <v>10.8303162486369</v>
      </c>
      <c r="D6" s="16" t="n">
        <f aca="false">IFERROR(D5/C5-1,0)</f>
        <v>0</v>
      </c>
      <c r="E6" s="16" t="n">
        <f aca="false">IFERROR(E5/D5-1,0)</f>
        <v>0</v>
      </c>
      <c r="F6" s="16" t="n">
        <f aca="false">IFERROR(F5/E5-1,0)</f>
        <v>0</v>
      </c>
      <c r="G6" s="16" t="n">
        <f aca="false">IFERROR(G5/F5-1,0)</f>
        <v>0</v>
      </c>
    </row>
    <row r="7" customFormat="false" ht="15" hidden="false" customHeight="true" outlineLevel="0" collapsed="false">
      <c r="A7" s="13" t="s">
        <v>581</v>
      </c>
      <c r="B7" s="41" t="n">
        <f aca="false">Historicals!D51</f>
        <v>789</v>
      </c>
      <c r="C7" s="35" t="n">
        <f aca="false">Historicals!F51+(Inputs!$B$5+Inputs!$G$75)*Historicals!F51/Historicals!F35</f>
        <v>10731.163207663</v>
      </c>
      <c r="D7" s="35" t="n">
        <f aca="false">D5*Inputs!$G$76</f>
        <v>10848.4</v>
      </c>
      <c r="E7" s="35" t="n">
        <f aca="false">E5*Inputs!$G$76</f>
        <v>10848.4</v>
      </c>
      <c r="F7" s="35" t="n">
        <f aca="false">F5*Inputs!$G$76</f>
        <v>10848.4</v>
      </c>
      <c r="G7" s="35" t="n">
        <f aca="false">G5*Inputs!$G$76</f>
        <v>10848.4</v>
      </c>
    </row>
    <row r="8" customFormat="false" ht="15" hidden="false" customHeight="true" outlineLevel="0" collapsed="false">
      <c r="A8" s="13" t="s">
        <v>582</v>
      </c>
      <c r="B8" s="35" t="n">
        <f aca="false">B5-B7</f>
        <v>3796</v>
      </c>
      <c r="C8" s="35" t="n">
        <f aca="false">C5-C7</f>
        <v>43510.836792337</v>
      </c>
      <c r="D8" s="35" t="n">
        <f aca="false">D5-D7</f>
        <v>43393.6</v>
      </c>
      <c r="E8" s="35" t="n">
        <f aca="false">E5-E7</f>
        <v>43393.6</v>
      </c>
      <c r="F8" s="35" t="n">
        <f aca="false">F5-F7</f>
        <v>43393.6</v>
      </c>
      <c r="G8" s="35" t="n">
        <f aca="false">G5-G7</f>
        <v>43393.6</v>
      </c>
    </row>
    <row r="9" customFormat="false" ht="15" hidden="false" customHeight="true" outlineLevel="0" collapsed="false">
      <c r="A9" s="13" t="s">
        <v>583</v>
      </c>
      <c r="C9" s="35" t="n">
        <f aca="false">Historicals!F36+Historicals!H6+Inputs!$G$75*Inputs!$G$81</f>
        <v>28258</v>
      </c>
      <c r="D9" s="35" t="n">
        <f aca="false">(C9-Inputs!$G$113)*(1+Inputs!$G$82)</f>
        <v>48038.6</v>
      </c>
      <c r="E9" s="35" t="n">
        <f aca="false">D9*(1+Inputs!$G$83)</f>
        <v>69655.97</v>
      </c>
      <c r="F9" s="35" t="n">
        <f aca="false">E9*(1+Inputs!$G$84)</f>
        <v>90552.761</v>
      </c>
      <c r="G9" s="35" t="n">
        <f aca="false">F9*(1+Inputs!$G$85)</f>
        <v>108663.3132</v>
      </c>
    </row>
    <row r="10" customFormat="false" ht="15" hidden="false" customHeight="true" outlineLevel="0" collapsed="false">
      <c r="A10" s="13" t="s">
        <v>219</v>
      </c>
      <c r="B10" s="41" t="n">
        <f aca="false">Historicals!D36</f>
        <v>7326</v>
      </c>
      <c r="C10" s="35" t="n">
        <f aca="false">Historicals!F36+Historicals!H6+MAX(Inputs!$G$75*Inputs!$G$81,Inputs!$G$108*C22)</f>
        <v>28258</v>
      </c>
      <c r="D10" s="35" t="n">
        <f aca="false">MAX(D9,Inputs!$G$108*D22)</f>
        <v>48038.6</v>
      </c>
      <c r="E10" s="35" t="n">
        <f aca="false">MAX(E9,Inputs!$G$108*E22)</f>
        <v>69655.97</v>
      </c>
      <c r="F10" s="35" t="n">
        <f aca="false">MAX(F9,Inputs!$G$108*F22)</f>
        <v>90552.761</v>
      </c>
      <c r="G10" s="35" t="n">
        <f aca="false">MAX(G9,Inputs!$G$108*G22)</f>
        <v>108663.3132</v>
      </c>
    </row>
    <row r="11" customFormat="false" ht="15" hidden="false" customHeight="true" outlineLevel="0" collapsed="false">
      <c r="A11" s="13" t="s">
        <v>220</v>
      </c>
      <c r="B11" s="41" t="n">
        <f aca="false">Historicals!D37</f>
        <v>1839</v>
      </c>
      <c r="C11" s="35" t="n">
        <f aca="false">Historicals!F37+Historicals!H7+Inputs!$G$75*Historicals!H24</f>
        <v>6982.0728945506</v>
      </c>
      <c r="D11" s="35" t="n">
        <f aca="false">D5*Inputs!$G$86</f>
        <v>7593.88</v>
      </c>
      <c r="E11" s="35" t="n">
        <f aca="false">E5*Inputs!$G$87</f>
        <v>7051.46</v>
      </c>
      <c r="F11" s="35" t="n">
        <f aca="false">F5*Inputs!$G$88</f>
        <v>6509.04</v>
      </c>
      <c r="G11" s="35" t="n">
        <f aca="false">G5*Inputs!$G$89</f>
        <v>5966.62</v>
      </c>
    </row>
    <row r="12" customFormat="false" ht="15" hidden="false" customHeight="true" outlineLevel="0" collapsed="false">
      <c r="A12" s="13" t="s">
        <v>584</v>
      </c>
      <c r="B12" s="41" t="n">
        <f aca="false">Historicals!D49</f>
        <v>1158</v>
      </c>
      <c r="C12" s="35" t="n">
        <f aca="false">Historicals!F49+Historicals!H19+Inputs!$G$75*Historicals!H29</f>
        <v>4580.19462137297</v>
      </c>
      <c r="D12" s="35" t="n">
        <f aca="false">D5*Inputs!$G$90</f>
        <v>4881.78</v>
      </c>
      <c r="E12" s="35" t="n">
        <f aca="false">E5*Inputs!$G$91</f>
        <v>4339.36</v>
      </c>
      <c r="F12" s="35" t="n">
        <f aca="false">F5*Inputs!$G$92</f>
        <v>3796.94</v>
      </c>
      <c r="G12" s="35" t="n">
        <f aca="false">G5*Inputs!$G$93</f>
        <v>3254.52</v>
      </c>
    </row>
    <row r="13" customFormat="false" ht="15" hidden="false" customHeight="true" outlineLevel="0" collapsed="false">
      <c r="A13" s="13" t="s">
        <v>585</v>
      </c>
      <c r="B13" s="41" t="n">
        <f aca="false">Historicals!D39</f>
        <v>568</v>
      </c>
      <c r="C13" s="35" t="n">
        <f aca="false">Historicals!F39+Historicals!H9+Inputs!$G$75*Historicals!H25</f>
        <v>8453.09766454352</v>
      </c>
      <c r="D13" s="35" t="n">
        <f aca="false">D5*Inputs!$G$94</f>
        <v>9221.14</v>
      </c>
      <c r="E13" s="35" t="n">
        <f aca="false">E5*Inputs!$G$95</f>
        <v>8678.72</v>
      </c>
      <c r="F13" s="35" t="n">
        <f aca="false">F5*Inputs!$G$96</f>
        <v>8136.3</v>
      </c>
      <c r="G13" s="35" t="n">
        <f aca="false">G5*Inputs!$G$97</f>
        <v>8136.3</v>
      </c>
    </row>
    <row r="14" customFormat="false" ht="15" hidden="false" customHeight="true" outlineLevel="0" collapsed="false">
      <c r="A14" s="13" t="s">
        <v>586</v>
      </c>
      <c r="B14" s="41" t="n">
        <f aca="false">Historicals!D40</f>
        <v>1412</v>
      </c>
      <c r="C14" s="35" t="n">
        <f aca="false">Historicals!F40+Historicals!H10-Inputs!$B$37+Inputs!$G$75*(Historicals!H10-Inputs!$B$37)/Historicals!H5</f>
        <v>5358.27742392074</v>
      </c>
      <c r="D14" s="35" t="n">
        <f aca="false">D5*Inputs!$G$98</f>
        <v>4339.36</v>
      </c>
      <c r="E14" s="35" t="n">
        <f aca="false">E5*Inputs!$G$99</f>
        <v>3796.94</v>
      </c>
      <c r="F14" s="35" t="n">
        <f aca="false">F5*Inputs!$G$100</f>
        <v>3254.52</v>
      </c>
      <c r="G14" s="35" t="n">
        <f aca="false">G5*Inputs!$G$101</f>
        <v>3254.52</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69192.98</v>
      </c>
      <c r="E16" s="36" t="n">
        <f aca="false">E10+E11+E13+E14+E15</f>
        <v>89183.09</v>
      </c>
      <c r="F16" s="36" t="n">
        <f aca="false">F10+F11+F13+F14+F15</f>
        <v>108452.621</v>
      </c>
      <c r="G16" s="36" t="n">
        <f aca="false">G10+G11+G13+G14+G15</f>
        <v>126020.7532</v>
      </c>
    </row>
    <row r="17" customFormat="false" ht="15" hidden="false" customHeight="true" outlineLevel="0" collapsed="false">
      <c r="A17" s="10" t="s">
        <v>588</v>
      </c>
      <c r="B17" s="34" t="n">
        <f aca="false">B5-B16</f>
        <v>-8060</v>
      </c>
      <c r="C17" s="34" t="n">
        <f aca="false">C5-C16</f>
        <v>3230.55201698514</v>
      </c>
      <c r="D17" s="34" t="n">
        <f aca="false">D5-D16</f>
        <v>-14950.98</v>
      </c>
      <c r="E17" s="34" t="n">
        <f aca="false">E5-E16</f>
        <v>-34941.09</v>
      </c>
      <c r="F17" s="34" t="n">
        <f aca="false">F5-F16</f>
        <v>-54210.621</v>
      </c>
      <c r="G17" s="34" t="n">
        <f aca="false">G5-G16</f>
        <v>-71778.7532</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-0.275634747981269</v>
      </c>
      <c r="E18" s="16" t="n">
        <f aca="false">IFERROR(E17/E5,0)</f>
        <v>-0.644170384572841</v>
      </c>
      <c r="F18" s="16" t="n">
        <f aca="false">IFERROR(F17/F5,0)</f>
        <v>-0.999421499944692</v>
      </c>
      <c r="G18" s="16" t="n">
        <f aca="false">IFERROR(G17/G5,0)</f>
        <v>-1.32330579993363</v>
      </c>
    </row>
    <row r="19" customFormat="false" ht="15" hidden="false" customHeight="true" outlineLevel="0" collapsed="false">
      <c r="A19" s="13" t="s">
        <v>590</v>
      </c>
      <c r="B19" s="16" t="n">
        <f aca="false">IFERROR(B10/B5,0)</f>
        <v>1.59781897491821</v>
      </c>
      <c r="C19" s="16" t="n">
        <f aca="false">IFERROR(C10/C5,0)</f>
        <v>0.52096161645957</v>
      </c>
      <c r="D19" s="16" t="n">
        <f aca="false">IFERROR(D10/D5,0)</f>
        <v>0.885634747981269</v>
      </c>
      <c r="E19" s="16" t="n">
        <f aca="false">IFERROR(E10/E5,0)</f>
        <v>1.28417038457284</v>
      </c>
      <c r="F19" s="16" t="n">
        <f aca="false">IFERROR(F10/F5,0)</f>
        <v>1.66942149994469</v>
      </c>
      <c r="G19" s="16" t="n">
        <f aca="false">IFERROR(G10/G5,0)</f>
        <v>2.00330579993363</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1/(1+Inputs!$B$19+Inputs!$G$104)^1</f>
        <v>0.892857142857143</v>
      </c>
      <c r="E21" s="53" t="n">
        <f aca="false">1/(1+Inputs!$B$19+Inputs!$G$104)^2</f>
        <v>0.79719387755102</v>
      </c>
      <c r="F21" s="53" t="n">
        <f aca="false">1/(1+Inputs!$B$19+Inputs!$G$104)^3</f>
        <v>0.711780247813411</v>
      </c>
      <c r="G21" s="53" t="n">
        <f aca="false">1/(1+Inputs!$B$19+Inputs!$G$104)^4</f>
        <v>0.635518078404831</v>
      </c>
    </row>
    <row r="22" customFormat="false" ht="15" hidden="false" customHeight="true" outlineLevel="0" collapsed="false">
      <c r="A22" s="13" t="s">
        <v>593</v>
      </c>
      <c r="C22" s="35" t="n">
        <f aca="false">Inputs!B$69+Inputs!$B$47*Inputs!$B$46</f>
        <v>11231</v>
      </c>
      <c r="D22" s="35" t="n">
        <f aca="false">Inputs!C$69+Inputs!$B$47*(1-Inputs!$B$46)+Inputs!$B$70*Inputs!$G$109</f>
        <v>97550</v>
      </c>
      <c r="E22" s="35" t="n">
        <f aca="false">Inputs!D$69+Inputs!$B$70*Inputs!$G$110</f>
        <v>107338.25</v>
      </c>
      <c r="F22" s="35" t="n">
        <f aca="false">Inputs!E$69+Inputs!$B$70*Inputs!$G$111</f>
        <v>117031.375</v>
      </c>
      <c r="G22" s="35" t="n">
        <f aca="false">Inputs!F$69+Inputs!$B$70*Inputs!$G$112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1084.84</v>
      </c>
      <c r="E25" s="35" t="n">
        <f aca="false">E5*E24</f>
        <v>2712.1</v>
      </c>
      <c r="F25" s="35" t="n">
        <f aca="false">F5*F24</f>
        <v>5424.2</v>
      </c>
      <c r="G25" s="35" t="n">
        <f aca="false">G5*G24</f>
        <v>8136.3</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8678.72</v>
      </c>
      <c r="E27" s="35" t="n">
        <f aca="false">E25*E26</f>
        <v>21696.8</v>
      </c>
      <c r="F27" s="35" t="n">
        <f aca="false">F25*F26</f>
        <v>43393.6</v>
      </c>
      <c r="G27" s="35" t="n">
        <f aca="false">G25*G26</f>
        <v>65090.4</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1301.808</v>
      </c>
      <c r="E29" s="36" t="n">
        <f aca="false">E27*E28</f>
        <v>3254.52</v>
      </c>
      <c r="F29" s="36" t="n">
        <f aca="false">F27*F28</f>
        <v>6509.04</v>
      </c>
      <c r="G29" s="36" t="n">
        <f aca="false">G27*G28</f>
        <v>9763.56</v>
      </c>
    </row>
    <row r="30" customFormat="false" ht="15" hidden="false" customHeight="true" outlineLevel="0" collapsed="false">
      <c r="A30" s="13" t="s">
        <v>601</v>
      </c>
      <c r="C30" s="35" t="n">
        <f aca="false">C25*Inputs!$C$124</f>
        <v>0</v>
      </c>
      <c r="D30" s="35" t="n">
        <f aca="false">D25*Inputs!$C$124</f>
        <v>325.452</v>
      </c>
      <c r="E30" s="35" t="n">
        <f aca="false">E25*Inputs!$C$124</f>
        <v>813.63</v>
      </c>
      <c r="F30" s="35" t="n">
        <f aca="false">F25*Inputs!$C$124</f>
        <v>1627.26</v>
      </c>
      <c r="G30" s="35" t="n">
        <f aca="false">G25*Inputs!$C$124</f>
        <v>2440.89</v>
      </c>
    </row>
    <row r="31" customFormat="false" ht="15" hidden="false" customHeight="true" outlineLevel="0" collapsed="false">
      <c r="A31" s="13" t="s">
        <v>602</v>
      </c>
      <c r="C31" s="35" t="n">
        <f aca="false">C29-C30</f>
        <v>0</v>
      </c>
      <c r="D31" s="35" t="n">
        <f aca="false">D29-D30</f>
        <v>976.356</v>
      </c>
      <c r="E31" s="35" t="n">
        <f aca="false">E29-E30</f>
        <v>2440.89</v>
      </c>
      <c r="F31" s="35" t="n">
        <f aca="false">F29-F30</f>
        <v>4881.78</v>
      </c>
      <c r="G31" s="35" t="n">
        <f aca="false">G29-G30</f>
        <v>7322.67</v>
      </c>
    </row>
    <row r="32" customFormat="false" ht="15" hidden="false" customHeight="true" outlineLevel="0" collapsed="false">
      <c r="A32" s="13" t="s">
        <v>603</v>
      </c>
      <c r="C32" s="35" t="n">
        <f aca="false">C29*Inputs!$C$125</f>
        <v>0</v>
      </c>
      <c r="D32" s="35" t="n">
        <f aca="false">D29*Inputs!$C$125</f>
        <v>260.3616</v>
      </c>
      <c r="E32" s="35" t="n">
        <f aca="false">E29*Inputs!$C$125</f>
        <v>650.904</v>
      </c>
      <c r="F32" s="35" t="n">
        <f aca="false">F29*Inputs!$C$125</f>
        <v>1301.808</v>
      </c>
      <c r="G32" s="35" t="n">
        <f aca="false">G29*Inputs!$C$125</f>
        <v>1952.712</v>
      </c>
    </row>
    <row r="33" customFormat="false" ht="15" hidden="false" customHeight="true" outlineLevel="0" collapsed="false">
      <c r="A33" s="13" t="s">
        <v>604</v>
      </c>
      <c r="C33" s="35" t="n">
        <f aca="false">C29*Inputs!$C$126</f>
        <v>0</v>
      </c>
      <c r="D33" s="35" t="n">
        <f aca="false">D29*Inputs!$C$126</f>
        <v>195.2712</v>
      </c>
      <c r="E33" s="35" t="n">
        <f aca="false">E29*Inputs!$C$126</f>
        <v>488.178</v>
      </c>
      <c r="F33" s="35" t="n">
        <f aca="false">F29*Inputs!$C$126</f>
        <v>976.356</v>
      </c>
      <c r="G33" s="35" t="n">
        <f aca="false">G29*Inputs!$C$126</f>
        <v>1464.534</v>
      </c>
    </row>
    <row r="34" customFormat="false" ht="15" hidden="false" customHeight="true" outlineLevel="0" collapsed="false">
      <c r="A34" s="13" t="s">
        <v>605</v>
      </c>
      <c r="C34" s="35" t="n">
        <f aca="false">C29*Inputs!$C$127</f>
        <v>0</v>
      </c>
      <c r="D34" s="35" t="n">
        <f aca="false">D29*Inputs!$C$127</f>
        <v>130.1808</v>
      </c>
      <c r="E34" s="35" t="n">
        <f aca="false">E29*Inputs!$C$127</f>
        <v>325.452</v>
      </c>
      <c r="F34" s="35" t="n">
        <f aca="false">F29*Inputs!$C$127</f>
        <v>650.904</v>
      </c>
      <c r="G34" s="35" t="n">
        <f aca="false">G29*Inputs!$C$127</f>
        <v>976.356</v>
      </c>
    </row>
    <row r="35" customFormat="false" ht="15" hidden="false" customHeight="true" outlineLevel="0" collapsed="false">
      <c r="A35" s="10" t="s">
        <v>606</v>
      </c>
      <c r="C35" s="34" t="n">
        <f aca="false">C29-C30-C32-C33-C34</f>
        <v>0</v>
      </c>
      <c r="D35" s="34" t="n">
        <f aca="false">D29-D30-D32-D33-D34</f>
        <v>390.5424</v>
      </c>
      <c r="E35" s="34" t="n">
        <f aca="false">E29-E30-E32-E33-E34</f>
        <v>976.356</v>
      </c>
      <c r="F35" s="34" t="n">
        <f aca="false">F29-F30-F32-F33-F34</f>
        <v>1952.712</v>
      </c>
      <c r="G35" s="34" t="n">
        <f aca="false">G29-G30-G32-G33-G34</f>
        <v>2929.068</v>
      </c>
    </row>
    <row r="36" customFormat="false" ht="15" hidden="false" customHeight="true" outlineLevel="0" collapsed="false">
      <c r="A36" s="13" t="s">
        <v>92</v>
      </c>
      <c r="C36" s="55" t="n">
        <f aca="false">IFERROR(C27/Inputs!$B$27,0)</f>
        <v>0</v>
      </c>
      <c r="D36" s="55" t="n">
        <f aca="false">IFERROR(D27/Inputs!$B$27,0)</f>
        <v>0.000216968</v>
      </c>
      <c r="E36" s="55" t="n">
        <f aca="false">IFERROR(E27/Inputs!$B$27,0)</f>
        <v>0.00054242</v>
      </c>
      <c r="F36" s="55" t="n">
        <f aca="false">IFERROR(F27/Inputs!$B$27,0)</f>
        <v>0.00108484</v>
      </c>
      <c r="G36" s="55" t="n">
        <f aca="false">IFERROR(G27/Inputs!$B$27,0)</f>
        <v>0.00162726</v>
      </c>
    </row>
    <row r="37" customFormat="false" ht="15" hidden="false" customHeight="true" outlineLevel="0" collapsed="false">
      <c r="A37" s="13" t="s">
        <v>607</v>
      </c>
      <c r="C37" s="35" t="n">
        <f aca="false">CHOOSE(Inputs!$B$35,C31*Inputs!B$67,C29*Inputs!$B$36,0)</f>
        <v>0</v>
      </c>
      <c r="D37" s="35" t="n">
        <f aca="false">CHOOSE(Inputs!$B$35,D31*Inputs!C$67,D29*Inputs!$B$36,0)</f>
        <v>39.05424</v>
      </c>
      <c r="E37" s="35" t="n">
        <f aca="false">CHOOSE(Inputs!$B$35,E31*Inputs!D$67,E29*Inputs!$B$36,0)</f>
        <v>122.0445</v>
      </c>
      <c r="F37" s="35" t="n">
        <f aca="false">CHOOSE(Inputs!$B$35,F31*Inputs!E$67,F29*Inputs!$B$36,0)</f>
        <v>244.089</v>
      </c>
      <c r="G37" s="35" t="n">
        <f aca="false">CHOOSE(Inputs!$B$35,G31*Inputs!F$67,G29*Inputs!$B$36,0)</f>
        <v>366.1335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Inputs!$G$107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54242</v>
      </c>
      <c r="E49" s="35" t="n">
        <f aca="false">E5</f>
        <v>54242</v>
      </c>
      <c r="F49" s="35" t="n">
        <f aca="false">F5</f>
        <v>54242</v>
      </c>
      <c r="G49" s="35" t="n">
        <f aca="false">G5</f>
        <v>54242</v>
      </c>
    </row>
    <row r="50" customFormat="false" ht="15" hidden="false" customHeight="true" outlineLevel="0" collapsed="false">
      <c r="A50" s="13" t="s">
        <v>588</v>
      </c>
      <c r="C50" s="35" t="n">
        <f aca="false">C17</f>
        <v>3230.55201698514</v>
      </c>
      <c r="D50" s="35" t="n">
        <f aca="false">D17</f>
        <v>-14950.98</v>
      </c>
      <c r="E50" s="35" t="n">
        <f aca="false">E17</f>
        <v>-34941.09</v>
      </c>
      <c r="F50" s="35" t="n">
        <f aca="false">F17</f>
        <v>-54210.621</v>
      </c>
      <c r="G50" s="35" t="n">
        <f aca="false">G17</f>
        <v>-71778.7532</v>
      </c>
    </row>
    <row r="51" customFormat="false" ht="15" hidden="false" customHeight="true" outlineLevel="0" collapsed="false">
      <c r="A51" s="13" t="s">
        <v>617</v>
      </c>
      <c r="C51" s="35" t="n">
        <f aca="false">C5*Inputs!B$67</f>
        <v>1627.26</v>
      </c>
      <c r="D51" s="35" t="n">
        <f aca="false">D5*Inputs!C$67</f>
        <v>2169.68</v>
      </c>
      <c r="E51" s="35" t="n">
        <f aca="false">E5*Inputs!D$67</f>
        <v>2712.1</v>
      </c>
      <c r="F51" s="35" t="n">
        <f aca="false">F5*Inputs!E$67</f>
        <v>2712.1</v>
      </c>
      <c r="G51" s="35" t="n">
        <f aca="false">G5*Inputs!F$67</f>
        <v>2712.1</v>
      </c>
    </row>
    <row r="52" customFormat="false" ht="15" hidden="false" customHeight="true" outlineLevel="0" collapsed="false">
      <c r="A52" s="13" t="s">
        <v>618</v>
      </c>
      <c r="C52" s="33" t="n">
        <v>0</v>
      </c>
      <c r="D52" s="35" t="n">
        <f aca="false">SUMPRODUCT($D51:D51,--((4-COLUMN($D51:D51))&lt;Inputs!$B$32))/Inputs!$B$32</f>
        <v>433.936</v>
      </c>
      <c r="E52" s="35" t="n">
        <f aca="false">SUMPRODUCT($D51:E51,--((5-COLUMN($D51:E51))&lt;Inputs!$B$32))/Inputs!$B$32</f>
        <v>976.356</v>
      </c>
      <c r="F52" s="35" t="n">
        <f aca="false">SUMPRODUCT($D51:F51,--((6-COLUMN($D51:F51))&lt;Inputs!$B$32))/Inputs!$B$32</f>
        <v>1518.776</v>
      </c>
      <c r="G52" s="35" t="n">
        <f aca="false">SUMPRODUCT($D51:G51,--((7-COLUMN($D51:G51))&lt;Inputs!$B$32))/Inputs!$B$32</f>
        <v>2061.196</v>
      </c>
    </row>
    <row r="53" customFormat="false" ht="15" hidden="false" customHeight="true" outlineLevel="0" collapsed="false">
      <c r="A53" s="10" t="s">
        <v>619</v>
      </c>
      <c r="C53" s="36" t="n">
        <f aca="false">C50-C52</f>
        <v>3230.55201698514</v>
      </c>
      <c r="D53" s="36" t="n">
        <f aca="false">D50-D52</f>
        <v>-15384.916</v>
      </c>
      <c r="E53" s="36" t="n">
        <f aca="false">E50-E52</f>
        <v>-35917.446</v>
      </c>
      <c r="F53" s="36" t="n">
        <f aca="false">F50-F52</f>
        <v>-55729.397</v>
      </c>
      <c r="G53" s="36" t="n">
        <f aca="false">G50-G52</f>
        <v>-73839.9492</v>
      </c>
    </row>
    <row r="54" customFormat="false" ht="15" hidden="false" customHeight="true" outlineLevel="0" collapsed="false">
      <c r="A54" s="13" t="s">
        <v>620</v>
      </c>
      <c r="C54" s="16" t="n">
        <f aca="false">IFERROR(C53/C49,0)</f>
        <v>0.0595581287007327</v>
      </c>
      <c r="D54" s="16" t="n">
        <f aca="false">IFERROR(D53/D49,0)</f>
        <v>-0.283634747981269</v>
      </c>
      <c r="E54" s="16" t="n">
        <f aca="false">IFERROR(E53/E49,0)</f>
        <v>-0.66217038457284</v>
      </c>
      <c r="F54" s="16" t="n">
        <f aca="false">IFERROR(F53/F49,0)</f>
        <v>-1.02742149994469</v>
      </c>
      <c r="G54" s="16" t="n">
        <f aca="false">IFERROR(G53/G49,0)</f>
        <v>-1.36130579993363</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3221.68638336195</v>
      </c>
      <c r="F55" s="35" t="n">
        <f aca="false">MAX(0,F80-F81)*Inputs!$B$20</f>
        <v>2469.382792946</v>
      </c>
      <c r="G55" s="35" t="n">
        <f aca="false">MAX(0,G80-G81)*Inputs!$B$20</f>
        <v>1202.97283776965</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-11943.2980650127</v>
      </c>
      <c r="E58" s="35" t="n">
        <f aca="false">E53+E55+E56-E57</f>
        <v>-32695.7596166381</v>
      </c>
      <c r="F58" s="35" t="n">
        <f aca="false">F53+F55+F56-F57</f>
        <v>-53260.014207054</v>
      </c>
      <c r="G58" s="35" t="n">
        <f aca="false">G53+G55+G56-G57</f>
        <v>-72636.9763622303</v>
      </c>
    </row>
    <row r="59" customFormat="false" ht="15" hidden="false" customHeight="true" outlineLevel="0" collapsed="false">
      <c r="A59" s="13" t="s">
        <v>625</v>
      </c>
      <c r="C59" s="35" t="n">
        <f aca="false">C58*Inputs!$B$58</f>
        <v>4617.7799522293</v>
      </c>
      <c r="D59" s="35" t="n">
        <f aca="false">D58*Inputs!$B$58</f>
        <v>-8599.17460680917</v>
      </c>
      <c r="E59" s="35" t="n">
        <f aca="false">E58*Inputs!$B$58</f>
        <v>-23540.9469239794</v>
      </c>
      <c r="F59" s="35" t="n">
        <f aca="false">F58*Inputs!$B$58</f>
        <v>-38347.2102290789</v>
      </c>
      <c r="G59" s="35" t="n">
        <f aca="false">G58*Inputs!$B$58</f>
        <v>-52298.6229808059</v>
      </c>
    </row>
    <row r="60" customFormat="false" ht="15" hidden="false" customHeight="true" outlineLevel="0" collapsed="false">
      <c r="A60" s="13" t="s">
        <v>626</v>
      </c>
      <c r="C60" s="35" t="n">
        <f aca="false">Inputs!$B$60</f>
        <v>4200</v>
      </c>
      <c r="D60" s="35" t="n">
        <f aca="false">C62</f>
        <v>4200</v>
      </c>
      <c r="E60" s="35" t="n">
        <f aca="false">D62</f>
        <v>12799.1746068092</v>
      </c>
      <c r="F60" s="35" t="n">
        <f aca="false">E62</f>
        <v>36340.1215307886</v>
      </c>
      <c r="G60" s="35" t="n">
        <f aca="false">F62</f>
        <v>74687.3317598675</v>
      </c>
    </row>
    <row r="61" customFormat="false" ht="15" hidden="false" customHeight="true" outlineLevel="0" collapsed="false">
      <c r="A61" s="13" t="s">
        <v>627</v>
      </c>
      <c r="C61" s="35" t="n">
        <f aca="false">IF(AND(2026=2026,Inputs!$B$61=1),0,MIN(C60,MAX(0,C59)))</f>
        <v>0</v>
      </c>
      <c r="D61" s="35" t="n">
        <f aca="false">IF(AND(2027=2026,Inputs!$B$61=1),0,MIN(D60,MAX(0,D59)))</f>
        <v>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12799.1746068092</v>
      </c>
      <c r="E62" s="35" t="n">
        <f aca="false">E60-E61+MAX(0,-E59)</f>
        <v>36340.1215307886</v>
      </c>
      <c r="F62" s="35" t="n">
        <f aca="false">F60-F61+MAX(0,-F59)</f>
        <v>74687.3317598675</v>
      </c>
      <c r="G62" s="35" t="n">
        <f aca="false">G60-G61+MAX(0,-G59)</f>
        <v>126985.954740673</v>
      </c>
    </row>
    <row r="63" customFormat="false" ht="15" hidden="false" customHeight="true" outlineLevel="0" collapsed="false">
      <c r="A63" s="13" t="s">
        <v>629</v>
      </c>
      <c r="C63" s="35" t="n">
        <f aca="false">MAX(0,C59-C61)*Inputs!$B$59</f>
        <v>277.066797133758</v>
      </c>
      <c r="D63" s="35" t="n">
        <f aca="false">MAX(0,D59-D61)*Inputs!$B$59</f>
        <v>0</v>
      </c>
      <c r="E63" s="35" t="n">
        <f aca="false">MAX(0,E59-E61)*Inputs!$B$59</f>
        <v>0</v>
      </c>
      <c r="F63" s="35" t="n">
        <f aca="false">MAX(0,F59-F61)*Inputs!$B$59</f>
        <v>0</v>
      </c>
      <c r="G63" s="35" t="n">
        <f aca="false">MAX(0,G59-G61)*Inputs!$B$59</f>
        <v>0</v>
      </c>
    </row>
    <row r="64" customFormat="false" ht="15" hidden="false" customHeight="true" outlineLevel="0" collapsed="false">
      <c r="A64" s="13" t="s">
        <v>630</v>
      </c>
      <c r="C64" s="35" t="n">
        <f aca="false">C58-C63</f>
        <v>6136.51646985139</v>
      </c>
      <c r="D64" s="35" t="n">
        <f aca="false">D58-D63</f>
        <v>-11943.2980650127</v>
      </c>
      <c r="E64" s="35" t="n">
        <f aca="false">E58-E63</f>
        <v>-32695.7596166381</v>
      </c>
      <c r="F64" s="35" t="n">
        <f aca="false">F58-F63</f>
        <v>-53260.014207054</v>
      </c>
      <c r="G64" s="35" t="n">
        <f aca="false">G58-G63</f>
        <v>-72636.9763622303</v>
      </c>
    </row>
    <row r="65" customFormat="false" ht="15" hidden="false" customHeight="true" outlineLevel="0" collapsed="false">
      <c r="A65" s="13" t="s">
        <v>631</v>
      </c>
      <c r="C65" s="35" t="n">
        <f aca="false">Inputs!$B$56</f>
        <v>8200</v>
      </c>
      <c r="D65" s="35" t="n">
        <f aca="false">C67</f>
        <v>3290.78682411889</v>
      </c>
      <c r="E65" s="35" t="n">
        <f aca="false">D67</f>
        <v>15234.0848891316</v>
      </c>
      <c r="F65" s="35" t="n">
        <f aca="false">E67</f>
        <v>47929.8445057697</v>
      </c>
      <c r="G65" s="35" t="n">
        <f aca="false">F67</f>
        <v>101189.858712824</v>
      </c>
    </row>
    <row r="66" customFormat="false" ht="15" hidden="false" customHeight="true" outlineLevel="0" collapsed="false">
      <c r="A66" s="13" t="s">
        <v>632</v>
      </c>
      <c r="C66" s="35" t="n">
        <f aca="false">MIN(C65,Inputs!$B$57*MAX(0,C64))</f>
        <v>4909.21317588111</v>
      </c>
      <c r="D66" s="35" t="n">
        <f aca="false">MIN(D65,Inputs!$B$57*MAX(0,D64))</f>
        <v>0</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15234.0848891316</v>
      </c>
      <c r="E67" s="35" t="n">
        <f aca="false">E65-E66+MAX(0,-E64)</f>
        <v>47929.8445057697</v>
      </c>
      <c r="F67" s="35" t="n">
        <f aca="false">F65-F66+MAX(0,-F64)</f>
        <v>101189.858712824</v>
      </c>
      <c r="G67" s="35" t="n">
        <f aca="false">G65-G66+MAX(0,-G64)</f>
        <v>173826.835075054</v>
      </c>
    </row>
    <row r="68" customFormat="false" ht="15" hidden="false" customHeight="true" outlineLevel="0" collapsed="false">
      <c r="A68" s="13" t="s">
        <v>634</v>
      </c>
      <c r="C68" s="35" t="n">
        <f aca="false">MAX(0,C64-C66)*Inputs!$B$55</f>
        <v>257.733691733758</v>
      </c>
      <c r="D68" s="35" t="n">
        <f aca="false">MAX(0,D64-D66)*Inputs!$B$55</f>
        <v>0</v>
      </c>
      <c r="E68" s="35" t="n">
        <f aca="false">MAX(0,E64-E66)*Inputs!$B$55</f>
        <v>0</v>
      </c>
      <c r="F68" s="35" t="n">
        <f aca="false">MAX(0,F64-F66)*Inputs!$B$55</f>
        <v>0</v>
      </c>
      <c r="G68" s="35" t="n">
        <f aca="false">MAX(0,G64-G66)*Inputs!$B$55</f>
        <v>0</v>
      </c>
    </row>
    <row r="69" customFormat="false" ht="15" hidden="false" customHeight="true" outlineLevel="0" collapsed="false">
      <c r="A69" s="10" t="s">
        <v>635</v>
      </c>
      <c r="C69" s="36" t="n">
        <f aca="false">IF(Inputs!$G$105=0,MAX(0,C53+C55)*Inputs!B$66,IF(Inputs!$G$105=2,MAX(0,C58)*Inputs!$G$106,C63+C68))</f>
        <v>534.800488867516</v>
      </c>
      <c r="D69" s="36" t="n">
        <f aca="false">IF(Inputs!$G$105=0,MAX(0,D53+D55)*Inputs!C$66,IF(Inputs!$G$105=2,MAX(0,D58)*Inputs!$G$106,D63+D68))</f>
        <v>0</v>
      </c>
      <c r="E69" s="36" t="n">
        <f aca="false">IF(Inputs!$G$105=0,MAX(0,E53+E55)*Inputs!D$66,IF(Inputs!$G$105=2,MAX(0,E58)*Inputs!$G$106,E63+E68))</f>
        <v>0</v>
      </c>
      <c r="F69" s="36" t="n">
        <f aca="false">IF(Inputs!$G$105=0,MAX(0,F53+F55)*Inputs!E$66,IF(Inputs!$G$105=2,MAX(0,F58)*Inputs!$G$106,F63+F68))</f>
        <v>0</v>
      </c>
      <c r="G69" s="36" t="n">
        <f aca="false">IF(Inputs!$G$105=0,MAX(0,G53+G55)*Inputs!F$66,IF(Inputs!$G$105=2,MAX(0,G58)*Inputs!$G$106,G63+G68))</f>
        <v>0</v>
      </c>
    </row>
    <row r="70" customFormat="false" ht="15" hidden="false" customHeight="true" outlineLevel="0" collapsed="false">
      <c r="A70" s="13" t="s">
        <v>636</v>
      </c>
      <c r="C70" s="16" t="n">
        <f aca="false">IF(C58&gt;0,MIN(1,C69/C58),0)</f>
        <v>0.0833856</v>
      </c>
      <c r="D70" s="16" t="n">
        <f aca="false">IF(D58&gt;0,MIN(1,D69/D58),0)</f>
        <v>0</v>
      </c>
      <c r="E70" s="16" t="n">
        <f aca="false">IF(E58&gt;0,MIN(1,E69/E58),0)</f>
        <v>0</v>
      </c>
      <c r="F70" s="16" t="n">
        <f aca="false">IF(F58&gt;0,MIN(1,F69/F58),0)</f>
        <v>0</v>
      </c>
      <c r="G70" s="16" t="n">
        <f aca="false">IF(G58&gt;0,MIN(1,G69/G58),0)</f>
        <v>0</v>
      </c>
    </row>
    <row r="71" customFormat="false" ht="15" hidden="false" customHeight="true" outlineLevel="0" collapsed="false">
      <c r="A71" s="13" t="s">
        <v>637</v>
      </c>
      <c r="C71" s="35" t="n">
        <f aca="false">C53+C55-C69</f>
        <v>5878.78277811763</v>
      </c>
      <c r="D71" s="35" t="n">
        <f aca="false">D53+D55-D69</f>
        <v>-11943.2980650127</v>
      </c>
      <c r="E71" s="35" t="n">
        <f aca="false">E53+E55-E69</f>
        <v>-32695.7596166381</v>
      </c>
      <c r="F71" s="35" t="n">
        <f aca="false">F53+F55-F69</f>
        <v>-53260.014207054</v>
      </c>
      <c r="G71" s="35" t="n">
        <f aca="false">G53+G55-G69</f>
        <v>-72636.9763622303</v>
      </c>
    </row>
    <row r="72" customFormat="false" ht="15" hidden="false" customHeight="true" outlineLevel="0" collapsed="false">
      <c r="A72" s="13" t="s">
        <v>638</v>
      </c>
      <c r="C72" s="35" t="n">
        <f aca="false">C12+C20</f>
        <v>6666.19462137297</v>
      </c>
      <c r="D72" s="35" t="n">
        <f aca="false">D12+D20</f>
        <v>4881.78</v>
      </c>
      <c r="E72" s="35" t="n">
        <f aca="false">E12+E20</f>
        <v>4339.36</v>
      </c>
      <c r="F72" s="35" t="n">
        <f aca="false">F12+F20</f>
        <v>3796.94</v>
      </c>
      <c r="G72" s="35" t="n">
        <f aca="false">G12+G20</f>
        <v>3254.52</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-8797.26206501273</v>
      </c>
      <c r="E75" s="36" t="n">
        <f aca="false">E53+E72+E52+E55-E69-E51+E73+E74</f>
        <v>-30092.1436166381</v>
      </c>
      <c r="F75" s="36" t="n">
        <f aca="false">F53+F72+F52+F55-F69-F51+F73+F74</f>
        <v>-50656.398207054</v>
      </c>
      <c r="G75" s="36" t="n">
        <f aca="false">G53+G72+G52+G55-G69-G51+G73+G74</f>
        <v>-70033.3603622304</v>
      </c>
    </row>
    <row r="76" customFormat="false" ht="15" hidden="false" customHeight="true" outlineLevel="0" collapsed="false">
      <c r="A76" s="10" t="s">
        <v>642</v>
      </c>
      <c r="C76" s="36" t="n">
        <f aca="false">C53+C52-(C69-C55*C70)-C51+C73+C74</f>
        <v>1333.91049871763</v>
      </c>
      <c r="D76" s="36" t="n">
        <f aca="false">D53+D52-(D69-D55*D70)-D51+D73+D74</f>
        <v>-17120.66</v>
      </c>
      <c r="E76" s="36" t="n">
        <f aca="false">E53+E52-(E69-E55*E70)-E51+E73+E74</f>
        <v>-37653.19</v>
      </c>
      <c r="F76" s="36" t="n">
        <f aca="false">F53+F52-(F69-F55*F70)-F51+F73+F74</f>
        <v>-56922.721</v>
      </c>
      <c r="G76" s="36" t="n">
        <f aca="false">G53+G52-(G69-G55*G70)-G51+G73+G74</f>
        <v>-74490.8532</v>
      </c>
    </row>
    <row r="77" customFormat="false" ht="15" hidden="false" customHeight="true" outlineLevel="0" collapsed="false">
      <c r="A77" s="13" t="s">
        <v>643</v>
      </c>
      <c r="C77" s="16" t="n">
        <f aca="false">IFERROR(C76/C49,0)</f>
        <v>0.0245918384041449</v>
      </c>
      <c r="D77" s="16" t="n">
        <f aca="false">IFERROR(D76/D49,0)</f>
        <v>-0.315634747981269</v>
      </c>
      <c r="E77" s="16" t="n">
        <f aca="false">IFERROR(E76/E49,0)</f>
        <v>-0.69417038457284</v>
      </c>
      <c r="F77" s="16" t="n">
        <f aca="false">IFERROR(F76/F49,0)</f>
        <v>-1.04942149994469</v>
      </c>
      <c r="G77" s="16" t="n">
        <f aca="false">IFERROR(G76/G49,0)</f>
        <v>-1.37330579993363</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128867.455334478</v>
      </c>
      <c r="F80" s="35" t="n">
        <f aca="false">E85</f>
        <v>98775.3117178398</v>
      </c>
      <c r="G80" s="35" t="n">
        <f aca="false">F85</f>
        <v>48118.9135107858</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-8797.26206501273</v>
      </c>
      <c r="E82" s="35" t="n">
        <f aca="false">E75</f>
        <v>-30092.1436166381</v>
      </c>
      <c r="F82" s="35" t="n">
        <f aca="false">F75</f>
        <v>-50656.398207054</v>
      </c>
      <c r="G82" s="35" t="n">
        <f aca="false">G75</f>
        <v>-70033.3603622304</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128867.455334478</v>
      </c>
      <c r="E85" s="36" t="n">
        <f aca="false">E80+E82+E83+E84</f>
        <v>98775.3117178398</v>
      </c>
      <c r="F85" s="36" t="n">
        <f aca="false">F80+F82+F83+F84</f>
        <v>48118.9135107858</v>
      </c>
      <c r="G85" s="36" t="n">
        <f aca="false">G80+G82+G83+G84</f>
        <v>-21914.4468514446</v>
      </c>
    </row>
    <row r="86" customFormat="false" ht="15" hidden="false" customHeight="true" outlineLevel="0" collapsed="false">
      <c r="A86" s="13" t="s">
        <v>653</v>
      </c>
      <c r="C86" s="35" t="n">
        <f aca="false">MIN(C80-C81,C85)</f>
        <v>131845</v>
      </c>
      <c r="D86" s="35" t="n">
        <f aca="false">MIN(D80-D81,D85)</f>
        <v>128867.455334478</v>
      </c>
      <c r="E86" s="35" t="n">
        <f aca="false">MIN(E80-E81,E85)</f>
        <v>98775.3117178398</v>
      </c>
      <c r="F86" s="35" t="n">
        <f aca="false">MIN(F80-F81,F85)</f>
        <v>48118.9135107858</v>
      </c>
      <c r="G86" s="35" t="n">
        <f aca="false">MIN(G80-G81,G85)</f>
        <v>-21914.4468514446</v>
      </c>
    </row>
    <row r="87" customFormat="false" ht="15" hidden="false" customHeight="true" outlineLevel="0" collapsed="false">
      <c r="A87" s="13" t="s">
        <v>654</v>
      </c>
      <c r="C87" s="35" t="n">
        <f aca="false">C86-Inputs!$B$29</f>
        <v>126845</v>
      </c>
      <c r="D87" s="35" t="n">
        <f aca="false">D86-Inputs!$B$29</f>
        <v>123867.455334478</v>
      </c>
      <c r="E87" s="35" t="n">
        <f aca="false">E86-Inputs!$B$29</f>
        <v>93775.3117178398</v>
      </c>
      <c r="F87" s="35" t="n">
        <f aca="false">F86-Inputs!$B$29</f>
        <v>43118.9135107858</v>
      </c>
      <c r="G87" s="35" t="n">
        <f aca="false">G86-Inputs!$B$29</f>
        <v>-26914.4468514446</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Below</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Shortfall</v>
      </c>
    </row>
    <row r="90" customFormat="false" ht="15" hidden="false" customHeight="true" outlineLevel="0" collapsed="false">
      <c r="A90" s="10" t="s">
        <v>657</v>
      </c>
      <c r="G90" s="36" t="n">
        <f aca="false">MAX(0,-MIN(C87:G87))</f>
        <v>26914.4468514446</v>
      </c>
    </row>
    <row r="91" customFormat="false" ht="15" hidden="false" customHeight="true" outlineLevel="0" collapsed="false">
      <c r="A91" s="13" t="s">
        <v>658</v>
      </c>
      <c r="G91" s="35" t="n">
        <f aca="false">MAX(0,-MIN(C86:G86))</f>
        <v>21914.4468514446</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n">
        <f aca="false">IF(G90=0,"none",IFERROR(2025+MATCH(1,INDEX(--(C87:G87&lt;0),0),0),"none"))</f>
        <v>2030</v>
      </c>
    </row>
    <row r="94" customFormat="false" ht="15" hidden="false" customHeight="true" outlineLevel="0" collapsed="false">
      <c r="A94" s="13" t="s">
        <v>661</v>
      </c>
      <c r="G94" s="35" t="n">
        <f aca="false">G90</f>
        <v>26914.4468514446</v>
      </c>
    </row>
    <row r="95" customFormat="false" ht="15" hidden="false" customHeight="true" outlineLevel="0" collapsed="false">
      <c r="A95" s="13" t="s">
        <v>662</v>
      </c>
      <c r="G95" s="35" t="n">
        <f aca="false">G94/(1-Inputs!$B$31)*Inputs!$B$31</f>
        <v>832.405572725089</v>
      </c>
    </row>
    <row r="96" customFormat="false" ht="15" hidden="false" customHeight="true" outlineLevel="0" collapsed="false">
      <c r="A96" s="13" t="s">
        <v>663</v>
      </c>
      <c r="G96" s="35" t="n">
        <f aca="false">G94+G95</f>
        <v>27746.8524241696</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26914.4468514446</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672.861171286114</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128867.455334478</v>
      </c>
      <c r="E100" s="35" t="n">
        <f aca="false">E85+SUM($C97:E97)+SUM($C98:E98)-SUM($C99:E99)</f>
        <v>98775.3117178398</v>
      </c>
      <c r="F100" s="35" t="n">
        <f aca="false">F85+SUM($C97:F97)+SUM($C98:F98)-SUM($C99:F99)</f>
        <v>48118.9135107858</v>
      </c>
      <c r="G100" s="35" t="n">
        <f aca="false">G85+SUM($C97:G97)+SUM($C98:G98)-SUM($C99:G99)</f>
        <v>5672.86117128611</v>
      </c>
    </row>
    <row r="101" customFormat="false" ht="15" hidden="false" customHeight="true" outlineLevel="0" collapsed="false">
      <c r="A101" s="13" t="s">
        <v>668</v>
      </c>
      <c r="C101" s="35" t="n">
        <f aca="false">MIN(C80-C81+0+C97,C100)</f>
        <v>131845</v>
      </c>
      <c r="D101" s="35" t="n">
        <f aca="false">MIN(D80-D81+SUM($C97:C97)+SUM($C98:C98)-SUM($C99:C99)+D97,D100)</f>
        <v>128867.455334478</v>
      </c>
      <c r="E101" s="35" t="n">
        <f aca="false">MIN(E80-E81+SUM($C97:D97)+SUM($C98:D98)-SUM($C99:D99)+E97,E100)</f>
        <v>98775.3117178398</v>
      </c>
      <c r="F101" s="35" t="n">
        <f aca="false">MIN(F80-F81+SUM($C97:E97)+SUM($C98:E98)-SUM($C99:E99)+F97,F100)</f>
        <v>48118.9135107858</v>
      </c>
      <c r="G101" s="35" t="n">
        <f aca="false">MIN(G80-G81+SUM($C97:F97)+SUM($C98:F98)-SUM($C99:F99)+G97,G100)</f>
        <v>5672.86117128611</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55218.356</v>
      </c>
      <c r="E105" s="35" t="n">
        <f aca="false">E5+E31</f>
        <v>56682.89</v>
      </c>
      <c r="F105" s="35" t="n">
        <f aca="false">F5+F31</f>
        <v>59123.78</v>
      </c>
      <c r="G105" s="35" t="n">
        <f aca="false">G5+G31</f>
        <v>61564.67</v>
      </c>
    </row>
    <row r="106" customFormat="false" ht="15" hidden="false" customHeight="true" outlineLevel="0" collapsed="false">
      <c r="A106" s="13" t="s">
        <v>588</v>
      </c>
      <c r="C106" s="35" t="n">
        <f aca="false">C17+C35</f>
        <v>3230.55201698514</v>
      </c>
      <c r="D106" s="35" t="n">
        <f aca="false">D17+D35</f>
        <v>-14560.4376</v>
      </c>
      <c r="E106" s="35" t="n">
        <f aca="false">E17+E35</f>
        <v>-33964.734</v>
      </c>
      <c r="F106" s="35" t="n">
        <f aca="false">F17+F35</f>
        <v>-52257.909</v>
      </c>
      <c r="G106" s="35" t="n">
        <f aca="false">G17+G35</f>
        <v>-68849.6852</v>
      </c>
    </row>
    <row r="107" customFormat="false" ht="15" hidden="false" customHeight="true" outlineLevel="0" collapsed="false">
      <c r="A107" s="13" t="s">
        <v>617</v>
      </c>
      <c r="C107" s="35" t="n">
        <f aca="false">C51+C37</f>
        <v>1627.26</v>
      </c>
      <c r="D107" s="35" t="n">
        <f aca="false">D51+D37</f>
        <v>2208.73424</v>
      </c>
      <c r="E107" s="35" t="n">
        <f aca="false">E51+E37</f>
        <v>2834.1445</v>
      </c>
      <c r="F107" s="35" t="n">
        <f aca="false">F51+F37</f>
        <v>2956.189</v>
      </c>
      <c r="G107" s="35" t="n">
        <f aca="false">G51+G37</f>
        <v>3078.2335</v>
      </c>
    </row>
    <row r="108" customFormat="false" ht="15" hidden="false" customHeight="true" outlineLevel="0" collapsed="false">
      <c r="A108" s="13" t="s">
        <v>618</v>
      </c>
      <c r="C108" s="33" t="n">
        <v>0</v>
      </c>
      <c r="D108" s="35" t="n">
        <f aca="false">SUMPRODUCT($D107:D107,--((4-COLUMN($D107:D107))&lt;Inputs!$B$32))/Inputs!$B$32</f>
        <v>441.746848</v>
      </c>
      <c r="E108" s="35" t="n">
        <f aca="false">SUMPRODUCT($D107:E107,--((5-COLUMN($D107:E107))&lt;Inputs!$B$32))/Inputs!$B$32</f>
        <v>1008.575748</v>
      </c>
      <c r="F108" s="35" t="n">
        <f aca="false">SUMPRODUCT($D107:F107,--((6-COLUMN($D107:F107))&lt;Inputs!$B$32))/Inputs!$B$32</f>
        <v>1599.813548</v>
      </c>
      <c r="G108" s="35" t="n">
        <f aca="false">SUMPRODUCT($D107:G107,--((7-COLUMN($D107:G107))&lt;Inputs!$B$32))/Inputs!$B$32</f>
        <v>2215.460248</v>
      </c>
    </row>
    <row r="109" customFormat="false" ht="15" hidden="false" customHeight="true" outlineLevel="0" collapsed="false">
      <c r="A109" s="10" t="s">
        <v>619</v>
      </c>
      <c r="C109" s="36" t="n">
        <f aca="false">C106-C108</f>
        <v>3230.55201698514</v>
      </c>
      <c r="D109" s="36" t="n">
        <f aca="false">D106-D108</f>
        <v>-15002.184448</v>
      </c>
      <c r="E109" s="36" t="n">
        <f aca="false">E106-E108</f>
        <v>-34973.309748</v>
      </c>
      <c r="F109" s="36" t="n">
        <f aca="false">F106-F108</f>
        <v>-53857.722548</v>
      </c>
      <c r="G109" s="36" t="n">
        <f aca="false">G106-G108</f>
        <v>-71065.145448</v>
      </c>
    </row>
    <row r="110" customFormat="false" ht="15" hidden="false" customHeight="true" outlineLevel="0" collapsed="false">
      <c r="A110" s="13" t="s">
        <v>620</v>
      </c>
      <c r="C110" s="16" t="n">
        <f aca="false">IFERROR(C109/C105,0)</f>
        <v>0.0595581287007327</v>
      </c>
      <c r="D110" s="16" t="n">
        <f aca="false">IFERROR(D109/D105,0)</f>
        <v>-0.271688357545451</v>
      </c>
      <c r="E110" s="16" t="n">
        <f aca="false">IFERROR(E109/E105,0)</f>
        <v>-0.616999411074489</v>
      </c>
      <c r="F110" s="16" t="n">
        <f aca="false">IFERROR(F109/F105,0)</f>
        <v>-0.910931651325406</v>
      </c>
      <c r="G110" s="16" t="n">
        <f aca="false">IFERROR(G109/G105,0)</f>
        <v>-1.15431700434681</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3230.47358736195</v>
      </c>
      <c r="F111" s="35" t="n">
        <f aca="false">MAX(0,F136-F137)*Inputs!$B$20</f>
        <v>2499.747464546</v>
      </c>
      <c r="G111" s="35" t="n">
        <f aca="false">MAX(0,G136-G137)*Inputs!$B$20</f>
        <v>1276.81220115965</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-11560.5665130127</v>
      </c>
      <c r="E114" s="35" t="n">
        <f aca="false">E109+E111+E112-E113</f>
        <v>-31742.8361606381</v>
      </c>
      <c r="F114" s="35" t="n">
        <f aca="false">F109+F111+F112-F113</f>
        <v>-51357.975083454</v>
      </c>
      <c r="G114" s="35" t="n">
        <f aca="false">G109+G111+G112-G113</f>
        <v>-69788.3332468404</v>
      </c>
    </row>
    <row r="115" customFormat="false" ht="15" hidden="false" customHeight="true" outlineLevel="0" collapsed="false">
      <c r="A115" s="13" t="s">
        <v>625</v>
      </c>
      <c r="C115" s="35" t="n">
        <f aca="false">C114*Inputs!$B$58</f>
        <v>4617.7799522293</v>
      </c>
      <c r="D115" s="35" t="n">
        <f aca="false">D114*Inputs!$B$58</f>
        <v>-8323.60788936917</v>
      </c>
      <c r="E115" s="35" t="n">
        <f aca="false">E114*Inputs!$B$58</f>
        <v>-22854.8420356594</v>
      </c>
      <c r="F115" s="35" t="n">
        <f aca="false">F114*Inputs!$B$58</f>
        <v>-36977.7420600869</v>
      </c>
      <c r="G115" s="35" t="n">
        <f aca="false">G114*Inputs!$B$58</f>
        <v>-50247.5999377251</v>
      </c>
    </row>
    <row r="116" customFormat="false" ht="15" hidden="false" customHeight="true" outlineLevel="0" collapsed="false">
      <c r="A116" s="13" t="s">
        <v>626</v>
      </c>
      <c r="C116" s="35" t="n">
        <f aca="false">Inputs!$B$60</f>
        <v>4200</v>
      </c>
      <c r="D116" s="35" t="n">
        <f aca="false">C118</f>
        <v>4200</v>
      </c>
      <c r="E116" s="35" t="n">
        <f aca="false">D118</f>
        <v>12523.6078893692</v>
      </c>
      <c r="F116" s="35" t="n">
        <f aca="false">E118</f>
        <v>35378.4499250286</v>
      </c>
      <c r="G116" s="35" t="n">
        <f aca="false">F118</f>
        <v>72356.1919851155</v>
      </c>
    </row>
    <row r="117" customFormat="false" ht="15" hidden="false" customHeight="true" outlineLevel="0" collapsed="false">
      <c r="A117" s="13" t="s">
        <v>627</v>
      </c>
      <c r="C117" s="35" t="n">
        <f aca="false">IF(AND(2026=2026,Inputs!$B$61=1),0,MIN(C116,MAX(0,C115)))</f>
        <v>0</v>
      </c>
      <c r="D117" s="35" t="n">
        <f aca="false">IF(AND(2027=2026,Inputs!$B$61=1),0,MIN(D116,MAX(0,D115)))</f>
        <v>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12523.6078893692</v>
      </c>
      <c r="E118" s="35" t="n">
        <f aca="false">E116-E117+MAX(0,-E115)</f>
        <v>35378.4499250286</v>
      </c>
      <c r="F118" s="35" t="n">
        <f aca="false">F116-F117+MAX(0,-F115)</f>
        <v>72356.1919851155</v>
      </c>
      <c r="G118" s="35" t="n">
        <f aca="false">G116-G117+MAX(0,-G115)</f>
        <v>122603.791922841</v>
      </c>
    </row>
    <row r="119" customFormat="false" ht="15" hidden="false" customHeight="true" outlineLevel="0" collapsed="false">
      <c r="A119" s="13" t="s">
        <v>629</v>
      </c>
      <c r="C119" s="35" t="n">
        <f aca="false">MAX(0,C115-C117)*Inputs!$B$59</f>
        <v>277.066797133758</v>
      </c>
      <c r="D119" s="35" t="n">
        <f aca="false">MAX(0,D115-D117)*Inputs!$B$59</f>
        <v>0</v>
      </c>
      <c r="E119" s="35" t="n">
        <f aca="false">MAX(0,E115-E117)*Inputs!$B$59</f>
        <v>0</v>
      </c>
      <c r="F119" s="35" t="n">
        <f aca="false">MAX(0,F115-F117)*Inputs!$B$59</f>
        <v>0</v>
      </c>
      <c r="G119" s="35" t="n">
        <f aca="false">MAX(0,G115-G117)*Inputs!$B$59</f>
        <v>0</v>
      </c>
    </row>
    <row r="120" customFormat="false" ht="15" hidden="false" customHeight="true" outlineLevel="0" collapsed="false">
      <c r="A120" s="13" t="s">
        <v>630</v>
      </c>
      <c r="C120" s="35" t="n">
        <f aca="false">C114-C119</f>
        <v>6136.51646985139</v>
      </c>
      <c r="D120" s="35" t="n">
        <f aca="false">D114-D119</f>
        <v>-11560.5665130127</v>
      </c>
      <c r="E120" s="35" t="n">
        <f aca="false">E114-E119</f>
        <v>-31742.8361606381</v>
      </c>
      <c r="F120" s="35" t="n">
        <f aca="false">F114-F119</f>
        <v>-51357.975083454</v>
      </c>
      <c r="G120" s="35" t="n">
        <f aca="false">G114-G119</f>
        <v>-69788.3332468404</v>
      </c>
    </row>
    <row r="121" customFormat="false" ht="15" hidden="false" customHeight="true" outlineLevel="0" collapsed="false">
      <c r="A121" s="13" t="s">
        <v>631</v>
      </c>
      <c r="C121" s="35" t="n">
        <f aca="false">Inputs!$B$56</f>
        <v>8200</v>
      </c>
      <c r="D121" s="35" t="n">
        <f aca="false">C123</f>
        <v>3290.78682411889</v>
      </c>
      <c r="E121" s="35" t="n">
        <f aca="false">D123</f>
        <v>14851.3533371316</v>
      </c>
      <c r="F121" s="35" t="n">
        <f aca="false">E123</f>
        <v>46594.1894977697</v>
      </c>
      <c r="G121" s="35" t="n">
        <f aca="false">F123</f>
        <v>97952.1645812237</v>
      </c>
    </row>
    <row r="122" customFormat="false" ht="15" hidden="false" customHeight="true" outlineLevel="0" collapsed="false">
      <c r="A122" s="13" t="s">
        <v>632</v>
      </c>
      <c r="C122" s="35" t="n">
        <f aca="false">MIN(C121,Inputs!$B$57*MAX(0,C120))</f>
        <v>4909.21317588111</v>
      </c>
      <c r="D122" s="35" t="n">
        <f aca="false">MIN(D121,Inputs!$B$57*MAX(0,D120))</f>
        <v>0</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14851.3533371316</v>
      </c>
      <c r="E123" s="35" t="n">
        <f aca="false">E121-E122+MAX(0,-E120)</f>
        <v>46594.1894977697</v>
      </c>
      <c r="F123" s="35" t="n">
        <f aca="false">F121-F122+MAX(0,-F120)</f>
        <v>97952.1645812237</v>
      </c>
      <c r="G123" s="35" t="n">
        <f aca="false">G121-G122+MAX(0,-G120)</f>
        <v>167740.497828064</v>
      </c>
    </row>
    <row r="124" customFormat="false" ht="15" hidden="false" customHeight="true" outlineLevel="0" collapsed="false">
      <c r="A124" s="13" t="s">
        <v>634</v>
      </c>
      <c r="C124" s="35" t="n">
        <f aca="false">MAX(0,C120-C122)*Inputs!$B$55</f>
        <v>257.733691733758</v>
      </c>
      <c r="D124" s="35" t="n">
        <f aca="false">MAX(0,D120-D122)*Inputs!$B$55</f>
        <v>0</v>
      </c>
      <c r="E124" s="35" t="n">
        <f aca="false">MAX(0,E120-E122)*Inputs!$B$55</f>
        <v>0</v>
      </c>
      <c r="F124" s="35" t="n">
        <f aca="false">MAX(0,F120-F122)*Inputs!$B$55</f>
        <v>0</v>
      </c>
      <c r="G124" s="35" t="n">
        <f aca="false">MAX(0,G120-G122)*Inputs!$B$55</f>
        <v>0</v>
      </c>
    </row>
    <row r="125" customFormat="false" ht="15" hidden="false" customHeight="true" outlineLevel="0" collapsed="false">
      <c r="A125" s="10" t="s">
        <v>635</v>
      </c>
      <c r="C125" s="36" t="n">
        <f aca="false">IF(Inputs!$G$105=0,MAX(0,C109+C111)*Inputs!B$66,IF(Inputs!$G$105=2,MAX(0,C114)*Inputs!$G$106,C119+C124))</f>
        <v>534.800488867516</v>
      </c>
      <c r="D125" s="36" t="n">
        <f aca="false">IF(Inputs!$G$105=0,MAX(0,D109+D111)*Inputs!C$66,IF(Inputs!$G$105=2,MAX(0,D114)*Inputs!$G$106,D119+D124))</f>
        <v>0</v>
      </c>
      <c r="E125" s="36" t="n">
        <f aca="false">IF(Inputs!$G$105=0,MAX(0,E109+E111)*Inputs!D$66,IF(Inputs!$G$105=2,MAX(0,E114)*Inputs!$G$106,E119+E124))</f>
        <v>0</v>
      </c>
      <c r="F125" s="36" t="n">
        <f aca="false">IF(Inputs!$G$105=0,MAX(0,F109+F111)*Inputs!E$66,IF(Inputs!$G$105=2,MAX(0,F114)*Inputs!$G$106,F119+F124))</f>
        <v>0</v>
      </c>
      <c r="G125" s="36" t="n">
        <f aca="false">IF(Inputs!$G$105=0,MAX(0,G109+G111)*Inputs!F$66,IF(Inputs!$G$105=2,MAX(0,G114)*Inputs!$G$106,G119+G124))</f>
        <v>0</v>
      </c>
    </row>
    <row r="126" customFormat="false" ht="15" hidden="false" customHeight="true" outlineLevel="0" collapsed="false">
      <c r="A126" s="13" t="s">
        <v>636</v>
      </c>
      <c r="C126" s="16" t="n">
        <f aca="false">IF(C114&gt;0,MIN(1,C125/C114),0)</f>
        <v>0.0833856</v>
      </c>
      <c r="D126" s="16" t="n">
        <f aca="false">IF(D114&gt;0,MIN(1,D125/D114),0)</f>
        <v>0</v>
      </c>
      <c r="E126" s="16" t="n">
        <f aca="false">IF(E114&gt;0,MIN(1,E125/E114),0)</f>
        <v>0</v>
      </c>
      <c r="F126" s="16" t="n">
        <f aca="false">IF(F114&gt;0,MIN(1,F125/F114),0)</f>
        <v>0</v>
      </c>
      <c r="G126" s="16" t="n">
        <f aca="false">IF(G114&gt;0,MIN(1,G125/G114),0)</f>
        <v>0</v>
      </c>
    </row>
    <row r="127" customFormat="false" ht="15" hidden="false" customHeight="true" outlineLevel="0" collapsed="false">
      <c r="A127" s="13" t="s">
        <v>637</v>
      </c>
      <c r="C127" s="35" t="n">
        <f aca="false">C109+C111-C125</f>
        <v>5878.78277811763</v>
      </c>
      <c r="D127" s="35" t="n">
        <f aca="false">D109+D111-D125</f>
        <v>-11560.5665130127</v>
      </c>
      <c r="E127" s="35" t="n">
        <f aca="false">E109+E111-E125</f>
        <v>-31742.8361606381</v>
      </c>
      <c r="F127" s="35" t="n">
        <f aca="false">F109+F111-F125</f>
        <v>-51357.975083454</v>
      </c>
      <c r="G127" s="35" t="n">
        <f aca="false">G109+G111-G125</f>
        <v>-69788.3332468404</v>
      </c>
    </row>
    <row r="128" customFormat="false" ht="15" hidden="false" customHeight="true" outlineLevel="0" collapsed="false">
      <c r="A128" s="13" t="s">
        <v>638</v>
      </c>
      <c r="C128" s="35" t="n">
        <f aca="false">C12+C20</f>
        <v>6666.19462137297</v>
      </c>
      <c r="D128" s="35" t="n">
        <f aca="false">D12+D20</f>
        <v>4881.78</v>
      </c>
      <c r="E128" s="35" t="n">
        <f aca="false">E12+E20</f>
        <v>4339.36</v>
      </c>
      <c r="F128" s="35" t="n">
        <f aca="false">F12+F20</f>
        <v>3796.94</v>
      </c>
      <c r="G128" s="35" t="n">
        <f aca="false">G12+G20</f>
        <v>3254.52</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-8445.77390501273</v>
      </c>
      <c r="E131" s="36" t="n">
        <f aca="false">E109+E128+E108+E111-E125-E107+E129+E130</f>
        <v>-29229.0449126381</v>
      </c>
      <c r="F131" s="36" t="n">
        <f aca="false">F109+F128+F108+F111-F125-F107+F129+F130</f>
        <v>-48917.410535454</v>
      </c>
      <c r="G131" s="36" t="n">
        <f aca="false">G109+G128+G108+G111-G125-G107+G129+G130</f>
        <v>-67396.5864988404</v>
      </c>
    </row>
    <row r="132" customFormat="false" ht="15" hidden="false" customHeight="true" outlineLevel="0" collapsed="false">
      <c r="A132" s="10" t="s">
        <v>642</v>
      </c>
      <c r="C132" s="36" t="n">
        <f aca="false">C109+C108-(C125-C111*C126)-C107+C129+C130</f>
        <v>1333.91049871763</v>
      </c>
      <c r="D132" s="36" t="n">
        <f aca="false">D109+D108-(D125-D111*D126)-D107+D129+D130</f>
        <v>-16769.17184</v>
      </c>
      <c r="E132" s="36" t="n">
        <f aca="false">E109+E108-(E125-E111*E126)-E107+E129+E130</f>
        <v>-36798.8785</v>
      </c>
      <c r="F132" s="36" t="n">
        <f aca="false">F109+F108-(F125-F111*F126)-F107+F129+F130</f>
        <v>-55214.098</v>
      </c>
      <c r="G132" s="36" t="n">
        <f aca="false">G109+G108-(G125-G111*G126)-G107+G129+G130</f>
        <v>-71927.9187</v>
      </c>
    </row>
    <row r="133" customFormat="false" ht="15" hidden="false" customHeight="true" outlineLevel="0" collapsed="false">
      <c r="A133" s="13" t="s">
        <v>643</v>
      </c>
      <c r="C133" s="16" t="n">
        <f aca="false">IFERROR(C132/C105,0)</f>
        <v>0.0245918384041449</v>
      </c>
      <c r="D133" s="16" t="n">
        <f aca="false">IFERROR(D132/D105,0)</f>
        <v>-0.303688357545451</v>
      </c>
      <c r="E133" s="16" t="n">
        <f aca="false">IFERROR(E132/E105,0)</f>
        <v>-0.649206109639082</v>
      </c>
      <c r="F133" s="16" t="n">
        <f aca="false">IFERROR(F132/F105,0)</f>
        <v>-0.933872935729076</v>
      </c>
      <c r="G133" s="16" t="n">
        <f aca="false">IFERROR(G132/G105,0)</f>
        <v>-1.16833110126311</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129218.943494478</v>
      </c>
      <c r="F136" s="35" t="n">
        <f aca="false">E141</f>
        <v>99989.8985818398</v>
      </c>
      <c r="G136" s="35" t="n">
        <f aca="false">F141</f>
        <v>51072.4880463858</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-8445.77390501273</v>
      </c>
      <c r="E138" s="35" t="n">
        <f aca="false">E131</f>
        <v>-29229.0449126381</v>
      </c>
      <c r="F138" s="35" t="n">
        <f aca="false">F131</f>
        <v>-48917.410535454</v>
      </c>
      <c r="G138" s="35" t="n">
        <f aca="false">G131</f>
        <v>-67396.5864988404</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129218.943494478</v>
      </c>
      <c r="E141" s="36" t="n">
        <f aca="false">E136+E138+E139+E140</f>
        <v>99989.8985818398</v>
      </c>
      <c r="F141" s="36" t="n">
        <f aca="false">F136+F138+F139+F140</f>
        <v>51072.4880463858</v>
      </c>
      <c r="G141" s="36" t="n">
        <f aca="false">G136+G138+G139+G140</f>
        <v>-16324.0984524546</v>
      </c>
    </row>
    <row r="142" customFormat="false" ht="15" hidden="false" customHeight="true" outlineLevel="0" collapsed="false">
      <c r="A142" s="13" t="s">
        <v>653</v>
      </c>
      <c r="C142" s="35" t="n">
        <f aca="false">MIN(C136-C137,C141)</f>
        <v>131845</v>
      </c>
      <c r="D142" s="35" t="n">
        <f aca="false">MIN(D136-D137,D141)</f>
        <v>129218.943494478</v>
      </c>
      <c r="E142" s="35" t="n">
        <f aca="false">MIN(E136-E137,E141)</f>
        <v>99989.8985818398</v>
      </c>
      <c r="F142" s="35" t="n">
        <f aca="false">MIN(F136-F137,F141)</f>
        <v>51072.4880463858</v>
      </c>
      <c r="G142" s="35" t="n">
        <f aca="false">MIN(G136-G137,G141)</f>
        <v>-16324.0984524546</v>
      </c>
    </row>
    <row r="143" customFormat="false" ht="15" hidden="false" customHeight="true" outlineLevel="0" collapsed="false">
      <c r="A143" s="13" t="s">
        <v>654</v>
      </c>
      <c r="C143" s="35" t="n">
        <f aca="false">C142-Inputs!$B$29</f>
        <v>126845</v>
      </c>
      <c r="D143" s="35" t="n">
        <f aca="false">D142-Inputs!$B$29</f>
        <v>124218.943494478</v>
      </c>
      <c r="E143" s="35" t="n">
        <f aca="false">E142-Inputs!$B$29</f>
        <v>94989.8985818398</v>
      </c>
      <c r="F143" s="35" t="n">
        <f aca="false">F142-Inputs!$B$29</f>
        <v>46072.4880463858</v>
      </c>
      <c r="G143" s="35" t="n">
        <f aca="false">G142-Inputs!$B$29</f>
        <v>-21324.0984524546</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Below</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Shortfall</v>
      </c>
    </row>
    <row r="146" customFormat="false" ht="15" hidden="false" customHeight="true" outlineLevel="0" collapsed="false">
      <c r="A146" s="10" t="s">
        <v>657</v>
      </c>
      <c r="G146" s="36" t="n">
        <f aca="false">MAX(0,-MIN(C143:G143))</f>
        <v>21324.0984524546</v>
      </c>
    </row>
    <row r="147" customFormat="false" ht="15" hidden="false" customHeight="true" outlineLevel="0" collapsed="false">
      <c r="A147" s="13" t="s">
        <v>658</v>
      </c>
      <c r="G147" s="35" t="n">
        <f aca="false">MAX(0,-MIN(C142:G142))</f>
        <v>16324.0984524546</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n">
        <f aca="false">IF(G146=0,"none",IFERROR(2025+MATCH(1,INDEX(--(C143:G143&lt;0),0),0),"none"))</f>
        <v>2030</v>
      </c>
    </row>
    <row r="150" customFormat="false" ht="15" hidden="false" customHeight="true" outlineLevel="0" collapsed="false">
      <c r="A150" s="13" t="s">
        <v>661</v>
      </c>
      <c r="G150" s="35" t="n">
        <f aca="false">G146</f>
        <v>21324.0984524546</v>
      </c>
    </row>
    <row r="151" customFormat="false" ht="15" hidden="false" customHeight="true" outlineLevel="0" collapsed="false">
      <c r="A151" s="13" t="s">
        <v>662</v>
      </c>
      <c r="G151" s="35" t="n">
        <f aca="false">G150/(1-Inputs!$B$31)*Inputs!$B$31</f>
        <v>659.50819956045</v>
      </c>
    </row>
    <row r="152" customFormat="false" ht="15" hidden="false" customHeight="true" outlineLevel="0" collapsed="false">
      <c r="A152" s="13" t="s">
        <v>663</v>
      </c>
      <c r="G152" s="35" t="n">
        <f aca="false">G150+G151</f>
        <v>21983.606652015</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21324.0984524546</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533.102461311364</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129218.943494478</v>
      </c>
      <c r="E156" s="35" t="n">
        <f aca="false">E141+SUM($C153:E153)+SUM($C154:E154)-SUM($C155:E155)</f>
        <v>99989.8985818398</v>
      </c>
      <c r="F156" s="35" t="n">
        <f aca="false">F141+SUM($C153:F153)+SUM($C154:F154)-SUM($C155:F155)</f>
        <v>51072.4880463858</v>
      </c>
      <c r="G156" s="35" t="n">
        <f aca="false">G141+SUM($C153:G153)+SUM($C154:G154)-SUM($C155:G155)</f>
        <v>5533.10246131136</v>
      </c>
    </row>
    <row r="157" customFormat="false" ht="15" hidden="false" customHeight="true" outlineLevel="0" collapsed="false">
      <c r="A157" s="13" t="s">
        <v>668</v>
      </c>
      <c r="C157" s="35" t="n">
        <f aca="false">MIN(C136-C137+0+C153,C156)</f>
        <v>131845</v>
      </c>
      <c r="D157" s="35" t="n">
        <f aca="false">MIN(D136-D137+SUM($C153:C153)+SUM($C154:C154)-SUM($C155:C155)+D153,D156)</f>
        <v>129218.943494478</v>
      </c>
      <c r="E157" s="35" t="n">
        <f aca="false">MIN(E136-E137+SUM($C153:D153)+SUM($C154:D154)-SUM($C155:D155)+E153,E156)</f>
        <v>99989.8985818398</v>
      </c>
      <c r="F157" s="35" t="n">
        <f aca="false">MIN(F136-F137+SUM($C153:E153)+SUM($C154:E154)-SUM($C155:E155)+F153,F156)</f>
        <v>51072.4880463858</v>
      </c>
      <c r="G157" s="35" t="n">
        <f aca="false">MIN(G136-G137+SUM($C153:F153)+SUM($C154:F154)-SUM($C155:F155)+G153,G156)</f>
        <v>5533.10246131136</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Inputs!$B$19+Inputs!$G$104</f>
        <v>0.12</v>
      </c>
      <c r="G162" s="16" t="n">
        <f aca="false">Inputs!$B$19+Inputs!$G$104</f>
        <v>0.12</v>
      </c>
    </row>
    <row r="163" customFormat="false" ht="15" hidden="false" customHeight="true" outlineLevel="0" collapsed="false">
      <c r="A163" s="13" t="s">
        <v>673</v>
      </c>
      <c r="F163" s="35" t="n">
        <f aca="false">G53*(1-G70)</f>
        <v>-73839.9492</v>
      </c>
      <c r="G163" s="35" t="n">
        <f aca="false">G109*(1-G126)</f>
        <v>-71065.145448</v>
      </c>
    </row>
    <row r="164" customFormat="false" ht="15" hidden="false" customHeight="true" outlineLevel="0" collapsed="false">
      <c r="A164" s="13" t="s">
        <v>674</v>
      </c>
      <c r="F164" s="54" t="n">
        <f aca="false">Inputs!$G$102</f>
        <v>30</v>
      </c>
      <c r="G164" s="54" t="n">
        <f aca="false">Inputs!$G$102</f>
        <v>30</v>
      </c>
    </row>
    <row r="165" customFormat="false" ht="15" hidden="false" customHeight="true" outlineLevel="0" collapsed="false">
      <c r="A165" s="13" t="s">
        <v>675</v>
      </c>
      <c r="F165" s="35" t="n">
        <f aca="false">F163*F164</f>
        <v>-2215198.476</v>
      </c>
      <c r="G165" s="35" t="n">
        <f aca="false">G163*G164</f>
        <v>-2131954.36344</v>
      </c>
    </row>
    <row r="166" customFormat="false" ht="15" hidden="false" customHeight="true" outlineLevel="0" collapsed="false">
      <c r="A166" s="13" t="s">
        <v>676</v>
      </c>
      <c r="F166" s="35" t="n">
        <f aca="false">F165*$G$21</f>
        <v>-1407798.67875283</v>
      </c>
      <c r="G166" s="35" t="n">
        <f aca="false">G165*$G$21</f>
        <v>-1354895.54030018</v>
      </c>
    </row>
    <row r="167" customFormat="false" ht="15" hidden="false" customHeight="true" outlineLevel="0" collapsed="false">
      <c r="A167" s="13" t="s">
        <v>677</v>
      </c>
      <c r="F167" s="35" t="n">
        <f aca="false">SUMPRODUCT(D76:G76,$D$21:$G$21)-F162*SUMPRODUCT(D81:G81,$D$21:$G$21)</f>
        <v>-133159.948453688</v>
      </c>
      <c r="G167" s="35" t="n">
        <f aca="false">SUMPRODUCT(D132:G132,$D$21:$G$21)-G162*SUMPRODUCT(D137:G137,$D$21:$G$21)</f>
        <v>-129320.112531204</v>
      </c>
    </row>
    <row r="168" customFormat="false" ht="15" hidden="false" customHeight="true" outlineLevel="0" collapsed="false">
      <c r="A168" s="13" t="s">
        <v>678</v>
      </c>
      <c r="F168" s="35" t="n">
        <f aca="false">F166+F167</f>
        <v>-1540958.62720652</v>
      </c>
      <c r="G168" s="35" t="n">
        <f aca="false">G166+G167</f>
        <v>-1484215.65283139</v>
      </c>
    </row>
    <row r="169" customFormat="false" ht="15" hidden="false" customHeight="true" outlineLevel="0" collapsed="false">
      <c r="A169" s="13" t="s">
        <v>679</v>
      </c>
      <c r="F169" s="35" t="n">
        <f aca="false">(G76-G74)*Inputs!$G$103*$G$21</f>
        <v>-1325527.94876321</v>
      </c>
      <c r="G169" s="35" t="n">
        <f aca="false">(G132-G130)*Inputs!$G$103*$G$21</f>
        <v>-1279921.79492472</v>
      </c>
    </row>
    <row r="170" customFormat="false" ht="15" hidden="false" customHeight="true" outlineLevel="0" collapsed="false">
      <c r="A170" s="13" t="s">
        <v>680</v>
      </c>
      <c r="F170" s="35" t="n">
        <f aca="false">F167+F169</f>
        <v>-1458687.8972169</v>
      </c>
      <c r="G170" s="35" t="n">
        <f aca="false">G167+G169</f>
        <v>-1409241.90745593</v>
      </c>
    </row>
    <row r="171" customFormat="false" ht="15" hidden="false" customHeight="true" outlineLevel="0" collapsed="false">
      <c r="A171" s="13" t="s">
        <v>681</v>
      </c>
      <c r="F171" s="35" t="n">
        <f aca="false">F168*Inputs!$B$21+F170*(1-Inputs!$B$21)</f>
        <v>-1499823.26221171</v>
      </c>
      <c r="G171" s="35" t="n">
        <f aca="false">G168*Inputs!$B$21+G170*(1-Inputs!$B$21)</f>
        <v>-1446728.78014366</v>
      </c>
    </row>
    <row r="172" customFormat="false" ht="15" hidden="false" customHeight="true" outlineLevel="0" collapsed="false">
      <c r="A172" s="13" t="s">
        <v>682</v>
      </c>
      <c r="F172" s="16" t="n">
        <f aca="false">IFERROR(F166/F168,0)</f>
        <v>0.913586292258162</v>
      </c>
      <c r="G172" s="16" t="n">
        <f aca="false">IFERROR(G166/G168,0)</f>
        <v>0.912869728678239</v>
      </c>
    </row>
    <row r="173" customFormat="false" ht="15" hidden="false" customHeight="true" outlineLevel="0" collapsed="false">
      <c r="A173" s="13" t="s">
        <v>683</v>
      </c>
      <c r="F173" s="16" t="n">
        <f aca="false">IFERROR(F169/F170,0)</f>
        <v>0.908712515742572</v>
      </c>
      <c r="G173" s="16" t="n">
        <f aca="false">IFERROR(G169/G170,0)</f>
        <v>0.908234269895747</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-1362158.54481222</v>
      </c>
      <c r="G176" s="34" t="n">
        <f aca="false">G171+G174+G175</f>
        <v>-1309064.06274417</v>
      </c>
    </row>
    <row r="177" customFormat="false" ht="15" hidden="false" customHeight="true" outlineLevel="0" collapsed="false">
      <c r="A177" s="13" t="s">
        <v>687</v>
      </c>
      <c r="F177" s="35" t="str">
        <f aca="false">IF(F182="OK",F176,"unresolved")</f>
        <v>unresolved</v>
      </c>
      <c r="G177" s="35" t="str">
        <f aca="false">IF(G182="OK",G176,"unresolved")</f>
        <v>unresolved</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str">
        <f aca="false">IF(F182="OK",F176/F178,"n/a")</f>
        <v>n/a</v>
      </c>
      <c r="G179" s="25" t="str">
        <f aca="false">IF(G182="OK",G176/G178,"n/a")</f>
        <v>n/a</v>
      </c>
    </row>
    <row r="180" customFormat="false" ht="15" hidden="false" customHeight="true" outlineLevel="0" collapsed="false">
      <c r="A180" s="13" t="s">
        <v>689</v>
      </c>
      <c r="F180" s="35" t="n">
        <f aca="false">G90</f>
        <v>26914.4468514446</v>
      </c>
      <c r="G180" s="35" t="n">
        <f aca="false">G146</f>
        <v>21324.0984524546</v>
      </c>
    </row>
    <row r="181" customFormat="false" ht="15" hidden="false" customHeight="true" outlineLevel="0" collapsed="false">
      <c r="A181" s="13" t="s">
        <v>690</v>
      </c>
      <c r="F181" s="58" t="n">
        <f aca="false">IF(G75&lt;0,MAX(0,G85)/-G75,"cash-positive")</f>
        <v>0</v>
      </c>
      <c r="G181" s="58" t="n">
        <f aca="false">IF(G131&lt;0,MAX(0,G141)/-G131,"cash-positive")</f>
        <v>0</v>
      </c>
    </row>
    <row r="182" customFormat="false" ht="15" hidden="false" customHeight="true" outlineLevel="0" collapsed="false">
      <c r="A182" s="13" t="s">
        <v>691</v>
      </c>
      <c r="F182" s="56" t="str">
        <f aca="false">IF(OR(F163&lt;=0,G76-G74&lt;=0),"Not meaningful: 2030 earnings or cash flow negative",IF(F176&lt;=0,"Not meaningful: equity value at or below zero","OK"))</f>
        <v>Not meaningful: 2030 earnings or cash flow negative</v>
      </c>
      <c r="G182" s="56" t="str">
        <f aca="false">IF(OR(G163&lt;=0,G132-G130&lt;=0),"Not meaningful: 2030 earnings or cash flow negative",IF(G176&lt;=0,"Not meaningful: equity value at or below zero","OK"))</f>
        <v>Not meaningful: 2030 earnings or cash flow negative</v>
      </c>
    </row>
    <row r="183" customFormat="false" ht="15" hidden="false" customHeight="true" outlineLevel="0" collapsed="false">
      <c r="A183" s="10" t="s">
        <v>692</v>
      </c>
      <c r="F183" s="29" t="str">
        <f aca="false">IF(F182&lt;&gt;"OK",F182,IF(F180&gt;0,"Raise needed by 2030",IF(ISNUMBER(F181),"Cash-negative in 2030; runway "&amp;TEXT(F181,"0.0")&amp;" yrs","No raise needed")))</f>
        <v>Not meaningful: 2030 earnings or cash flow negative</v>
      </c>
      <c r="G183" s="29" t="str">
        <f aca="false">IF(G182&lt;&gt;"OK",G182,IF(G180&gt;0,"Raise needed by 2030",IF(ISNUMBER(G181),"Cash-negative in 2030; runway "&amp;TEXT(G181,"0.0")&amp;" yrs","No raise needed")))</f>
        <v>Not meaningful: 2030 earnings or cash flow negative</v>
      </c>
    </row>
    <row r="184" customFormat="false" ht="15" hidden="false" customHeight="true" outlineLevel="0" collapsed="false">
      <c r="A184" s="13" t="s">
        <v>693</v>
      </c>
      <c r="F184" s="25" t="str">
        <f aca="false">IF(NOT(ISNUMBER(F179)),"unresolved",IF(F180=0,F179,(F176+F180/(1+F162)^IF(ISNUMBER(G93),MAX(0,G93-2027),0))/(F178+(F180/(1-Inputs!$B$31))/(F179*(1+F162)^IF(ISNUMBER(G93),MAX(0,G93-2027),0)*(1-0)))))</f>
        <v>unresolved</v>
      </c>
      <c r="G184" s="25" t="str">
        <f aca="false">IF(NOT(ISNUMBER(G179)),"unresolved",IF(G180=0,G179,(G176+G180/(1+G162)^IF(ISNUMBER(G149),MAX(0,G149-2027),0))/(G178+(G180/(1-Inputs!$B$31))/(G179*(1+G162)^IF(ISNUMBER(G149),MAX(0,G149-2027),0)*(1-0)))))</f>
        <v>unresolved</v>
      </c>
    </row>
    <row r="185" customFormat="false" ht="15" hidden="false" customHeight="true" outlineLevel="0" collapsed="false">
      <c r="A185" s="13" t="s">
        <v>694</v>
      </c>
      <c r="F185" s="25" t="str">
        <f aca="false">IF(NOT(ISNUMBER(F179)),"unresolved",IF(F180=0,F179,(F176+F180/(1+F162)^IF(ISNUMBER(G93),MAX(0,G93-2027),0))/(F178+(F180/(1-Inputs!$B$31))/(F179*(1+F162)^IF(ISNUMBER(G93),MAX(0,G93-2027),0)*(1-Inputs!$B$30)))))</f>
        <v>unresolved</v>
      </c>
      <c r="G185" s="25" t="str">
        <f aca="false">IF(NOT(ISNUMBER(G179)),"unresolved",IF(G180=0,G179,(G176+G180/(1+G162)^IF(ISNUMBER(G149),MAX(0,G149-2027),0))/(G178+(G180/(1-Inputs!$B$31))/(G179*(1+G162)^IF(ISNUMBER(G149),MAX(0,G149-2027),0)*(1-Inputs!$B$30)))))</f>
        <v>unresolved</v>
      </c>
    </row>
    <row r="186" customFormat="false" ht="15" hidden="false" customHeight="true" outlineLevel="0" collapsed="false">
      <c r="A186" s="13" t="s">
        <v>695</v>
      </c>
      <c r="F186" s="25" t="str">
        <f aca="false">IF(NOT(ISNUMBER(F179)),"unresolved",IF(F180=0,F179,(F176+F180/(1+F162)^IF(ISNUMBER(G93),MAX(0,G93-2027),0))/(F178+(F180/(1-Inputs!$B$31))/(F179*(1+F162)^IF(ISNUMBER(G93),MAX(0,G93-2027),0)*(1-0.3)))))</f>
        <v>unresolved</v>
      </c>
      <c r="G186" s="25" t="str">
        <f aca="false">IF(NOT(ISNUMBER(G179)),"unresolved",IF(G180=0,G179,(G176+G180/(1+G162)^IF(ISNUMBER(G149),MAX(0,G149-2027),0))/(G178+(G180/(1-Inputs!$B$31))/(G179*(1+G162)^IF(ISNUMBER(G149),MAX(0,G149-2027),0)*(1-0.3)))))</f>
        <v>unresolved</v>
      </c>
    </row>
    <row r="187" customFormat="false" ht="15" hidden="false" customHeight="true" outlineLevel="0" collapsed="false">
      <c r="A187" s="13" t="s">
        <v>696</v>
      </c>
      <c r="F187" s="25" t="str">
        <f aca="false">F185</f>
        <v>unresolved</v>
      </c>
      <c r="G187" s="25" t="str">
        <f aca="false">G185</f>
        <v>unresolved</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str">
        <f aca="false">IF(ISNUMBER(F187),F187/(1+Inputs!$B$25)^F188,"unresolved")</f>
        <v>unresolved</v>
      </c>
      <c r="G189" s="12" t="str">
        <f aca="false">IF(ISNUMBER(G187),G187/(1+Inputs!$B$25)^G188,"unresolved")</f>
        <v>unresolved</v>
      </c>
    </row>
    <row r="190" customFormat="false" ht="15" hidden="false" customHeight="true" outlineLevel="0" collapsed="false">
      <c r="A190" s="13" t="s">
        <v>699</v>
      </c>
      <c r="F190" s="25" t="str">
        <f aca="false">IF(F180=0,F189,"unresolved")</f>
        <v>unresolved</v>
      </c>
      <c r="G190" s="25" t="str">
        <f aca="false">IF(G180=0,G189,"unresolved")</f>
        <v>unresolved</v>
      </c>
    </row>
    <row r="191" customFormat="false" ht="15" hidden="false" customHeight="true" outlineLevel="0" collapsed="false">
      <c r="A191" s="13" t="s">
        <v>700</v>
      </c>
      <c r="F191" s="35" t="str">
        <f aca="false">IF(ISNUMBER(F179),F176+F180/(1+F162)^IF(ISNUMBER(G93),MAX(0,G93-2027),0),"unresolved")</f>
        <v>unresolved</v>
      </c>
      <c r="G191" s="35" t="str">
        <f aca="false">IF(ISNUMBER(G179),G176+G180/(1+G162)^IF(ISNUMBER(G149),MAX(0,G149-2027),0),"unresolved")</f>
        <v>unresolved</v>
      </c>
    </row>
    <row r="192" customFormat="false" ht="15" hidden="false" customHeight="true" outlineLevel="0" collapsed="false">
      <c r="A192" s="13" t="s">
        <v>701</v>
      </c>
      <c r="F192" s="28" t="str">
        <f aca="false">IFERROR(F191/D49,"n/a")</f>
        <v>n/a</v>
      </c>
      <c r="G192" s="28" t="str">
        <f aca="false">IFERROR(G191/D105,"n/a")</f>
        <v>n/a</v>
      </c>
    </row>
    <row r="193" customFormat="false" ht="15" hidden="false" customHeight="true" outlineLevel="0" collapsed="false">
      <c r="A193" s="13" t="s">
        <v>702</v>
      </c>
      <c r="F193" s="25" t="n">
        <f aca="false">(F168+F174)/F178</f>
        <v>-78.2343314506131</v>
      </c>
      <c r="G193" s="25" t="n">
        <f aca="false">(G168+G174)/G178</f>
        <v>-75.0708824869045</v>
      </c>
    </row>
    <row r="194" customFormat="false" ht="15" hidden="false" customHeight="true" outlineLevel="0" collapsed="false">
      <c r="A194" s="13" t="s">
        <v>703</v>
      </c>
      <c r="F194" s="25" t="n">
        <f aca="false">(F170+F174)/F178</f>
        <v>-73.6476974506288</v>
      </c>
      <c r="G194" s="25" t="n">
        <f aca="false">(G170+G174)/G178</f>
        <v>-70.8910589981783</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711</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Historicals!F35+(Inputs!$B$5+Inputs!$H$75)</f>
        <v>54242</v>
      </c>
      <c r="D5" s="35" t="n">
        <f aca="false">C5*(1+Inputs!$H$77)</f>
        <v>108484</v>
      </c>
      <c r="E5" s="35" t="n">
        <f aca="false">D5*(1+Inputs!$H$78)</f>
        <v>168150.2</v>
      </c>
      <c r="F5" s="35" t="n">
        <f aca="false">E5*(1+Inputs!$H$79)</f>
        <v>227002.77</v>
      </c>
      <c r="G5" s="35" t="n">
        <f aca="false">F5*(1+Inputs!$H$80)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Historicals!F51+(Inputs!$B$5+Inputs!$H$75)*Historicals!F51/Historicals!F35</f>
        <v>10731.163207663</v>
      </c>
      <c r="D7" s="35" t="n">
        <f aca="false">D5*Inputs!$H$76</f>
        <v>21696.8</v>
      </c>
      <c r="E7" s="35" t="n">
        <f aca="false">E5*Inputs!$H$76</f>
        <v>33630.04</v>
      </c>
      <c r="F7" s="35" t="n">
        <f aca="false">F5*Inputs!$H$76</f>
        <v>45400.554</v>
      </c>
      <c r="G7" s="35" t="n">
        <f aca="false">G5*Inputs!$H$76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Historicals!F36+Historicals!H6+Inputs!$H$75*Inputs!$H$81</f>
        <v>28258</v>
      </c>
      <c r="D9" s="35" t="n">
        <f aca="false">(C9-Inputs!$H$113)*(1+Inputs!$H$82)</f>
        <v>57646.32</v>
      </c>
      <c r="E9" s="35" t="n">
        <f aca="false">D9*(1+Inputs!$H$83)</f>
        <v>83587.164</v>
      </c>
      <c r="F9" s="35" t="n">
        <f aca="false">E9*(1+Inputs!$H$84)</f>
        <v>108663.3132</v>
      </c>
      <c r="G9" s="35" t="n">
        <f aca="false">F9*(1+Inputs!$H$85)</f>
        <v>130395.97584</v>
      </c>
    </row>
    <row r="10" customFormat="false" ht="15" hidden="false" customHeight="true" outlineLevel="0" collapsed="false">
      <c r="A10" s="13" t="s">
        <v>219</v>
      </c>
      <c r="B10" s="41" t="n">
        <f aca="false">Historicals!D36</f>
        <v>7326</v>
      </c>
      <c r="C10" s="35" t="n">
        <f aca="false">Historicals!F36+Historicals!H6+MAX(Inputs!$H$75*Inputs!$H$81,Inputs!$H$108*C22)</f>
        <v>28258</v>
      </c>
      <c r="D10" s="35" t="n">
        <f aca="false">MAX(D9,Inputs!$H$108*D22)</f>
        <v>57646.32</v>
      </c>
      <c r="E10" s="35" t="n">
        <f aca="false">MAX(E9,Inputs!$H$108*E22)</f>
        <v>83587.164</v>
      </c>
      <c r="F10" s="35" t="n">
        <f aca="false">MAX(F9,Inputs!$H$108*F22)</f>
        <v>108663.3132</v>
      </c>
      <c r="G10" s="35" t="n">
        <f aca="false">MAX(G9,Inputs!$H$108*G22)</f>
        <v>130395.97584</v>
      </c>
    </row>
    <row r="11" customFormat="false" ht="15" hidden="false" customHeight="true" outlineLevel="0" collapsed="false">
      <c r="A11" s="13" t="s">
        <v>220</v>
      </c>
      <c r="B11" s="41" t="n">
        <f aca="false">Historicals!D37</f>
        <v>1839</v>
      </c>
      <c r="C11" s="35" t="n">
        <f aca="false">Historicals!F37+Historicals!H7+Inputs!$H$75*Historicals!H24</f>
        <v>6982.0728945506</v>
      </c>
      <c r="D11" s="35" t="n">
        <f aca="false">D5*Inputs!$H$86</f>
        <v>15187.76</v>
      </c>
      <c r="E11" s="35" t="n">
        <f aca="false">E5*Inputs!$H$87</f>
        <v>21859.526</v>
      </c>
      <c r="F11" s="35" t="n">
        <f aca="false">F5*Inputs!$H$88</f>
        <v>27240.3324</v>
      </c>
      <c r="G11" s="35" t="n">
        <f aca="false">G5*Inputs!$H$89</f>
        <v>31212.880875</v>
      </c>
    </row>
    <row r="12" customFormat="false" ht="15" hidden="false" customHeight="true" outlineLevel="0" collapsed="false">
      <c r="A12" s="13" t="s">
        <v>584</v>
      </c>
      <c r="B12" s="41" t="n">
        <f aca="false">Historicals!D49</f>
        <v>1158</v>
      </c>
      <c r="C12" s="35" t="n">
        <f aca="false">Historicals!F49+Historicals!H19+Inputs!$H$75*Historicals!H29</f>
        <v>4580.19462137297</v>
      </c>
      <c r="D12" s="35" t="n">
        <f aca="false">D5*Inputs!$H$90</f>
        <v>9763.56</v>
      </c>
      <c r="E12" s="35" t="n">
        <f aca="false">E5*Inputs!$H$91</f>
        <v>13452.016</v>
      </c>
      <c r="F12" s="35" t="n">
        <f aca="false">F5*Inputs!$H$92</f>
        <v>15890.1939</v>
      </c>
      <c r="G12" s="35" t="n">
        <f aca="false">G5*Inputs!$H$93</f>
        <v>17025.20775</v>
      </c>
    </row>
    <row r="13" customFormat="false" ht="15" hidden="false" customHeight="true" outlineLevel="0" collapsed="false">
      <c r="A13" s="13" t="s">
        <v>585</v>
      </c>
      <c r="B13" s="41" t="n">
        <f aca="false">Historicals!D39</f>
        <v>568</v>
      </c>
      <c r="C13" s="35" t="n">
        <f aca="false">Historicals!F39+Historicals!H9+Inputs!$H$75*Historicals!H25</f>
        <v>8453.09766454352</v>
      </c>
      <c r="D13" s="35" t="n">
        <f aca="false">D5*Inputs!$H$94</f>
        <v>18442.28</v>
      </c>
      <c r="E13" s="35" t="n">
        <f aca="false">E5*Inputs!$H$95</f>
        <v>26904.032</v>
      </c>
      <c r="F13" s="35" t="n">
        <f aca="false">F5*Inputs!$H$96</f>
        <v>34050.4155</v>
      </c>
      <c r="G13" s="35" t="n">
        <f aca="false">G5*Inputs!$H$97</f>
        <v>42563.019375</v>
      </c>
    </row>
    <row r="14" customFormat="false" ht="15" hidden="false" customHeight="true" outlineLevel="0" collapsed="false">
      <c r="A14" s="13" t="s">
        <v>586</v>
      </c>
      <c r="B14" s="41" t="n">
        <f aca="false">Historicals!D40</f>
        <v>1412</v>
      </c>
      <c r="C14" s="35" t="n">
        <f aca="false">Historicals!F40+Historicals!H10-Inputs!$B$37+Inputs!$H$75*(Historicals!H10-Inputs!$B$37)/Historicals!H5</f>
        <v>5358.27742392074</v>
      </c>
      <c r="D14" s="35" t="n">
        <f aca="false">D5*Inputs!$H$98</f>
        <v>8678.72</v>
      </c>
      <c r="E14" s="35" t="n">
        <f aca="false">E5*Inputs!$H$99</f>
        <v>11770.514</v>
      </c>
      <c r="F14" s="35" t="n">
        <f aca="false">F5*Inputs!$H$100</f>
        <v>13620.1662</v>
      </c>
      <c r="G14" s="35" t="n">
        <f aca="false">G5*Inputs!$H$101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99955.08</v>
      </c>
      <c r="E16" s="36" t="n">
        <f aca="false">E10+E11+E13+E14+E15</f>
        <v>144121.236</v>
      </c>
      <c r="F16" s="36" t="n">
        <f aca="false">F10+F11+F13+F14+F15</f>
        <v>183574.2273</v>
      </c>
      <c r="G16" s="36" t="n">
        <f aca="false">G10+G11+G13+G14+G15</f>
        <v>221197.08384</v>
      </c>
    </row>
    <row r="17" customFormat="false" ht="15" hidden="false" customHeight="true" outlineLevel="0" collapsed="false">
      <c r="A17" s="10" t="s">
        <v>588</v>
      </c>
      <c r="B17" s="34" t="n">
        <f aca="false">B5-B16</f>
        <v>-8060</v>
      </c>
      <c r="C17" s="34" t="n">
        <f aca="false">C5-C16</f>
        <v>3230.55201698514</v>
      </c>
      <c r="D17" s="34" t="n">
        <f aca="false">D5-D16</f>
        <v>8528.92</v>
      </c>
      <c r="E17" s="34" t="n">
        <f aca="false">E5-E16</f>
        <v>24028.964</v>
      </c>
      <c r="F17" s="34" t="n">
        <f aca="false">F5-F16</f>
        <v>43428.5427</v>
      </c>
      <c r="G17" s="34" t="n">
        <f aca="false">G5-G16</f>
        <v>62556.37866</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0.0786191512112385</v>
      </c>
      <c r="E18" s="16" t="n">
        <f aca="false">IFERROR(E17/E5,0)</f>
        <v>0.142901786616965</v>
      </c>
      <c r="F18" s="16" t="n">
        <f aca="false">IFERROR(F17/F5,0)</f>
        <v>0.191312831557078</v>
      </c>
      <c r="G18" s="16" t="n">
        <f aca="false">IFERROR(G17/G5,0)</f>
        <v>0.220460318294794</v>
      </c>
    </row>
    <row r="19" customFormat="false" ht="15" hidden="false" customHeight="true" outlineLevel="0" collapsed="false">
      <c r="A19" s="13" t="s">
        <v>590</v>
      </c>
      <c r="B19" s="16" t="n">
        <f aca="false">IFERROR(B10/B5,0)</f>
        <v>1.59781897491821</v>
      </c>
      <c r="C19" s="16" t="n">
        <f aca="false">IFERROR(C10/C5,0)</f>
        <v>0.52096161645957</v>
      </c>
      <c r="D19" s="16" t="n">
        <f aca="false">IFERROR(D10/D5,0)</f>
        <v>0.531380848788762</v>
      </c>
      <c r="E19" s="16" t="n">
        <f aca="false">IFERROR(E10/E5,0)</f>
        <v>0.497098213383035</v>
      </c>
      <c r="F19" s="16" t="n">
        <f aca="false">IFERROR(F10/F5,0)</f>
        <v>0.478687168442922</v>
      </c>
      <c r="G19" s="16" t="n">
        <f aca="false">IFERROR(G10/G5,0)</f>
        <v>0.459539681705206</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1/(1+Inputs!$B$19+Inputs!$H$104)^1</f>
        <v>0.892857142857143</v>
      </c>
      <c r="E21" s="53" t="n">
        <f aca="false">1/(1+Inputs!$B$19+Inputs!$H$104)^2</f>
        <v>0.79719387755102</v>
      </c>
      <c r="F21" s="53" t="n">
        <f aca="false">1/(1+Inputs!$B$19+Inputs!$H$104)^3</f>
        <v>0.711780247813411</v>
      </c>
      <c r="G21" s="53" t="n">
        <f aca="false">1/(1+Inputs!$B$19+Inputs!$H$104)^4</f>
        <v>0.635518078404831</v>
      </c>
    </row>
    <row r="22" customFormat="false" ht="15" hidden="false" customHeight="true" outlineLevel="0" collapsed="false">
      <c r="A22" s="13" t="s">
        <v>593</v>
      </c>
      <c r="C22" s="35" t="n">
        <f aca="false">Inputs!B$69+Inputs!$B$47*Inputs!$B$46</f>
        <v>11231</v>
      </c>
      <c r="D22" s="35" t="n">
        <f aca="false">Inputs!C$69+Inputs!$B$47*(1-Inputs!$B$46)+Inputs!$B$70*Inputs!$H$109</f>
        <v>97550</v>
      </c>
      <c r="E22" s="35" t="n">
        <f aca="false">Inputs!D$69+Inputs!$B$70*Inputs!$H$110</f>
        <v>107338.25</v>
      </c>
      <c r="F22" s="35" t="n">
        <f aca="false">Inputs!E$69+Inputs!$B$70*Inputs!$H$111</f>
        <v>117031.375</v>
      </c>
      <c r="G22" s="35" t="n">
        <f aca="false">Inputs!F$69+Inputs!$B$70*Inputs!$H$112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Inputs!$H$107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57646.32</v>
      </c>
      <c r="E44" s="35" t="n">
        <f aca="false">E10*Inputs!$B$39</f>
        <v>83587.164</v>
      </c>
      <c r="F44" s="35" t="n">
        <f aca="false">F10*Inputs!$B$39</f>
        <v>108663.3132</v>
      </c>
      <c r="G44" s="35" t="n">
        <f aca="false">G10*Inputs!$B$39</f>
        <v>130395.97584</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8528.92</v>
      </c>
      <c r="E50" s="35" t="n">
        <f aca="false">E17</f>
        <v>24028.964</v>
      </c>
      <c r="F50" s="35" t="n">
        <f aca="false">F17</f>
        <v>43428.5427</v>
      </c>
      <c r="G50" s="35" t="n">
        <f aca="false">G17</f>
        <v>62556.37866</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7661.048</v>
      </c>
      <c r="E53" s="36" t="n">
        <f aca="false">E50-E52</f>
        <v>21479.59</v>
      </c>
      <c r="F53" s="36" t="n">
        <f aca="false">F50-F52</f>
        <v>38609.141</v>
      </c>
      <c r="G53" s="36" t="n">
        <f aca="false">G50-G52</f>
        <v>54899.442335</v>
      </c>
    </row>
    <row r="54" customFormat="false" ht="15" hidden="false" customHeight="true" outlineLevel="0" collapsed="false">
      <c r="A54" s="13" t="s">
        <v>620</v>
      </c>
      <c r="C54" s="16" t="n">
        <f aca="false">IFERROR(C53/C49,0)</f>
        <v>0.0595581287007327</v>
      </c>
      <c r="D54" s="16" t="n">
        <f aca="false">IFERROR(D53/D49,0)</f>
        <v>0.0706191512112385</v>
      </c>
      <c r="E54" s="16" t="n">
        <f aca="false">IFERROR(E53/E49,0)</f>
        <v>0.127740496294385</v>
      </c>
      <c r="F54" s="16" t="n">
        <f aca="false">IFERROR(F53/F49,0)</f>
        <v>0.170082246132944</v>
      </c>
      <c r="G54" s="16" t="n">
        <f aca="false">IFERROR(G53/G49,0)</f>
        <v>0.193475849955487</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3830.97822345416</v>
      </c>
      <c r="F55" s="35" t="n">
        <f aca="false">MAX(0,F80-F81)*Inputs!$B$20</f>
        <v>4499.11396905913</v>
      </c>
      <c r="G55" s="35" t="n">
        <f aca="false">MAX(0,G80-G81)*Inputs!$B$20</f>
        <v>5547.70846905844</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11102.6659349873</v>
      </c>
      <c r="E58" s="35" t="n">
        <f aca="false">E53+E55+E56-E57</f>
        <v>25310.5682234542</v>
      </c>
      <c r="F58" s="35" t="n">
        <f aca="false">F53+F55+F56-F57</f>
        <v>43108.2549690591</v>
      </c>
      <c r="G58" s="35" t="n">
        <f aca="false">G53+G55+G56-G57</f>
        <v>60447.1508040585</v>
      </c>
    </row>
    <row r="59" customFormat="false" ht="15" hidden="false" customHeight="true" outlineLevel="0" collapsed="false">
      <c r="A59" s="13" t="s">
        <v>625</v>
      </c>
      <c r="C59" s="35" t="n">
        <f aca="false">C58*Inputs!$B$58</f>
        <v>4617.7799522293</v>
      </c>
      <c r="D59" s="35" t="n">
        <f aca="false">D58*Inputs!$B$58</f>
        <v>7993.91947319083</v>
      </c>
      <c r="E59" s="35" t="n">
        <f aca="false">E58*Inputs!$B$58</f>
        <v>18223.609120887</v>
      </c>
      <c r="F59" s="35" t="n">
        <f aca="false">F58*Inputs!$B$58</f>
        <v>31037.9435777226</v>
      </c>
      <c r="G59" s="35" t="n">
        <f aca="false">G58*Inputs!$B$58</f>
        <v>43521.9485789221</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227.63516839145</v>
      </c>
      <c r="E63" s="35" t="n">
        <f aca="false">MAX(0,E59-E61)*Inputs!$B$59</f>
        <v>1093.41654725322</v>
      </c>
      <c r="F63" s="35" t="n">
        <f aca="false">MAX(0,F59-F61)*Inputs!$B$59</f>
        <v>1862.27661466335</v>
      </c>
      <c r="G63" s="35" t="n">
        <f aca="false">MAX(0,G59-G61)*Inputs!$B$59</f>
        <v>2611.31691473533</v>
      </c>
    </row>
    <row r="64" customFormat="false" ht="15" hidden="false" customHeight="true" outlineLevel="0" collapsed="false">
      <c r="A64" s="13" t="s">
        <v>630</v>
      </c>
      <c r="C64" s="35" t="n">
        <f aca="false">C58-C63</f>
        <v>6136.51646985139</v>
      </c>
      <c r="D64" s="35" t="n">
        <f aca="false">D58-D63</f>
        <v>10875.0307665958</v>
      </c>
      <c r="E64" s="35" t="n">
        <f aca="false">E58-E63</f>
        <v>24217.151676201</v>
      </c>
      <c r="F64" s="35" t="n">
        <f aca="false">F58-F63</f>
        <v>41245.9783543958</v>
      </c>
      <c r="G64" s="35" t="n">
        <f aca="false">G58-G63</f>
        <v>57835.8338893231</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1592.69122792015</v>
      </c>
      <c r="E68" s="35" t="n">
        <f aca="false">MAX(0,E64-E66)*Inputs!$B$55</f>
        <v>5085.6018520022</v>
      </c>
      <c r="F68" s="35" t="n">
        <f aca="false">MAX(0,F64-F66)*Inputs!$B$55</f>
        <v>8661.65545442312</v>
      </c>
      <c r="G68" s="35" t="n">
        <f aca="false">MAX(0,G64-G66)*Inputs!$B$55</f>
        <v>12145.5251167579</v>
      </c>
    </row>
    <row r="69" customFormat="false" ht="15" hidden="false" customHeight="true" outlineLevel="0" collapsed="false">
      <c r="A69" s="10" t="s">
        <v>635</v>
      </c>
      <c r="C69" s="36" t="n">
        <f aca="false">IF(Inputs!$H$105=0,MAX(0,C53+C55)*Inputs!B$66,IF(Inputs!$H$105=2,MAX(0,C58)*Inputs!$H$106,C63+C68))</f>
        <v>534.800488867516</v>
      </c>
      <c r="D69" s="36" t="n">
        <f aca="false">IF(Inputs!$H$105=0,MAX(0,D53+D55)*Inputs!C$66,IF(Inputs!$H$105=2,MAX(0,D58)*Inputs!$H$106,D63+D68))</f>
        <v>1820.3263963116</v>
      </c>
      <c r="E69" s="36" t="n">
        <f aca="false">IF(Inputs!$H$105=0,MAX(0,E53+E55)*Inputs!D$66,IF(Inputs!$H$105=2,MAX(0,E58)*Inputs!$H$106,E63+E68))</f>
        <v>6179.01839925543</v>
      </c>
      <c r="F69" s="36" t="n">
        <f aca="false">IF(Inputs!$H$105=0,MAX(0,F53+F55)*Inputs!E$66,IF(Inputs!$H$105=2,MAX(0,F58)*Inputs!$H$106,F63+F68))</f>
        <v>10523.9320690865</v>
      </c>
      <c r="G69" s="36" t="n">
        <f aca="false">IF(Inputs!$H$105=0,MAX(0,G53+G55)*Inputs!F$66,IF(Inputs!$H$105=2,MAX(0,G58)*Inputs!$H$106,G63+G68))</f>
        <v>14756.8420314932</v>
      </c>
    </row>
    <row r="70" customFormat="false" ht="15" hidden="false" customHeight="true" outlineLevel="0" collapsed="false">
      <c r="A70" s="13" t="s">
        <v>636</v>
      </c>
      <c r="C70" s="16" t="n">
        <f aca="false">IF(C58&gt;0,MIN(1,C69/C58),0)</f>
        <v>0.0833856</v>
      </c>
      <c r="D70" s="16" t="n">
        <f aca="false">IF(D58&gt;0,MIN(1,D69/D58),0)</f>
        <v>0.163953991498141</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9282.33953867566</v>
      </c>
      <c r="E71" s="35" t="n">
        <f aca="false">E53+E55-E69</f>
        <v>19131.5498241988</v>
      </c>
      <c r="F71" s="35" t="n">
        <f aca="false">F53+F55-F69</f>
        <v>32584.3228999727</v>
      </c>
      <c r="G71" s="35" t="n">
        <f aca="false">G53+G55-G69</f>
        <v>45690.3087725653</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15574.4115386757</v>
      </c>
      <c r="E75" s="36" t="n">
        <f aca="false">E53+E72+E52+E55-E69-E51+E73+E74</f>
        <v>26725.4298241988</v>
      </c>
      <c r="F75" s="36" t="n">
        <f aca="false">F53+F72+F52+F55-F69-F51+F73+F74</f>
        <v>41943.7799999727</v>
      </c>
      <c r="G75" s="36" t="n">
        <f aca="false">G53+G72+G52+G55-G69-G51+G73+G74</f>
        <v>56184.7797225653</v>
      </c>
    </row>
    <row r="76" customFormat="false" ht="15" hidden="false" customHeight="true" outlineLevel="0" collapsed="false">
      <c r="A76" s="10" t="s">
        <v>642</v>
      </c>
      <c r="C76" s="36" t="n">
        <f aca="false">C53+C52-(C69-C55*C70)-C51+C73+C74</f>
        <v>1333.91049871763</v>
      </c>
      <c r="D76" s="36" t="n">
        <f aca="false">D53+D52-(D69-D55*D70)-D51+D73+D74</f>
        <v>2933.50060134115</v>
      </c>
      <c r="E76" s="36" t="n">
        <f aca="false">E53+E52-(E69-E55*E70)-E51+E73+E74</f>
        <v>10377.68465248</v>
      </c>
      <c r="F76" s="36" t="n">
        <f aca="false">F53+F52-(F69-F55*F70)-F51+F73+F74</f>
        <v>22652.831825952</v>
      </c>
      <c r="G76" s="36" t="n">
        <f aca="false">G53+G52-(G69-G55*G70)-G51+G73+G74</f>
        <v>34966.2144766411</v>
      </c>
    </row>
    <row r="77" customFormat="false" ht="15" hidden="false" customHeight="true" outlineLevel="0" collapsed="false">
      <c r="A77" s="13" t="s">
        <v>643</v>
      </c>
      <c r="C77" s="16" t="n">
        <f aca="false">IFERROR(C76/C49,0)</f>
        <v>0.0245918384041449</v>
      </c>
      <c r="D77" s="16" t="n">
        <f aca="false">IFERROR(D76/D49,0)</f>
        <v>0.0270408594939452</v>
      </c>
      <c r="E77" s="16" t="n">
        <f aca="false">IFERROR(E76/E49,0)</f>
        <v>0.0617167547376098</v>
      </c>
      <c r="F77" s="16" t="n">
        <f aca="false">IFERROR(F76/F49,0)</f>
        <v>0.0997909929731343</v>
      </c>
      <c r="G77" s="16" t="n">
        <f aca="false">IFERROR(G76/G49,0)</f>
        <v>0.123227445996861</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153239.128938166</v>
      </c>
      <c r="F80" s="35" t="n">
        <f aca="false">E85</f>
        <v>179964.558762365</v>
      </c>
      <c r="G80" s="35" t="n">
        <f aca="false">F85</f>
        <v>221908.338762338</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15574.4115386757</v>
      </c>
      <c r="E82" s="35" t="n">
        <f aca="false">E75</f>
        <v>26725.4298241988</v>
      </c>
      <c r="F82" s="35" t="n">
        <f aca="false">F75</f>
        <v>41943.7799999727</v>
      </c>
      <c r="G82" s="35" t="n">
        <f aca="false">G75</f>
        <v>56184.7797225653</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153239.128938166</v>
      </c>
      <c r="E85" s="36" t="n">
        <f aca="false">E80+E82+E83+E84</f>
        <v>179964.558762365</v>
      </c>
      <c r="F85" s="36" t="n">
        <f aca="false">F80+F82+F83+F84</f>
        <v>221908.338762338</v>
      </c>
      <c r="G85" s="36" t="n">
        <f aca="false">G80+G82+G83+G84</f>
        <v>278093.118484903</v>
      </c>
    </row>
    <row r="86" customFormat="false" ht="15" hidden="false" customHeight="true" outlineLevel="0" collapsed="false">
      <c r="A86" s="13" t="s">
        <v>653</v>
      </c>
      <c r="C86" s="35" t="n">
        <f aca="false">MIN(C80-C81,C85)</f>
        <v>131845</v>
      </c>
      <c r="D86" s="35" t="n">
        <f aca="false">MIN(D80-D81,D85)</f>
        <v>137664.717399491</v>
      </c>
      <c r="E86" s="35" t="n">
        <f aca="false">MIN(E80-E81,E85)</f>
        <v>153239.128938166</v>
      </c>
      <c r="F86" s="35" t="n">
        <f aca="false">MIN(F80-F81,F85)</f>
        <v>179964.558762365</v>
      </c>
      <c r="G86" s="35" t="n">
        <f aca="false">MIN(G80-G81,G85)</f>
        <v>221908.338762338</v>
      </c>
    </row>
    <row r="87" customFormat="false" ht="15" hidden="false" customHeight="true" outlineLevel="0" collapsed="false">
      <c r="A87" s="13" t="s">
        <v>654</v>
      </c>
      <c r="C87" s="35" t="n">
        <f aca="false">C86-Inputs!$B$29</f>
        <v>126845</v>
      </c>
      <c r="D87" s="35" t="n">
        <f aca="false">D86-Inputs!$B$29</f>
        <v>132664.717399491</v>
      </c>
      <c r="E87" s="35" t="n">
        <f aca="false">E86-Inputs!$B$29</f>
        <v>148239.128938166</v>
      </c>
      <c r="F87" s="35" t="n">
        <f aca="false">F86-Inputs!$B$29</f>
        <v>174964.558762365</v>
      </c>
      <c r="G87" s="35" t="n">
        <f aca="false">G86-Inputs!$B$29</f>
        <v>216908.338762338</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153239.128938166</v>
      </c>
      <c r="E100" s="35" t="n">
        <f aca="false">E85+SUM($C97:E97)+SUM($C98:E98)-SUM($C99:E99)</f>
        <v>179964.558762365</v>
      </c>
      <c r="F100" s="35" t="n">
        <f aca="false">F85+SUM($C97:F97)+SUM($C98:F98)-SUM($C99:F99)</f>
        <v>221908.338762338</v>
      </c>
      <c r="G100" s="35" t="n">
        <f aca="false">G85+SUM($C97:G97)+SUM($C98:G98)-SUM($C99:G99)</f>
        <v>278093.118484903</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153239.128938166</v>
      </c>
      <c r="F101" s="35" t="n">
        <f aca="false">MIN(F80-F81+SUM($C97:E97)+SUM($C98:E98)-SUM($C99:E99)+F97,F100)</f>
        <v>179964.558762365</v>
      </c>
      <c r="G101" s="35" t="n">
        <f aca="false">MIN(G80-G81+SUM($C97:F97)+SUM($C98:F98)-SUM($C99:F99)+G97,G100)</f>
        <v>221908.338762338</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9310.0048</v>
      </c>
      <c r="E106" s="35" t="n">
        <f aca="false">E17+E35</f>
        <v>27055.6676</v>
      </c>
      <c r="F106" s="35" t="n">
        <f aca="false">F17+F35</f>
        <v>51600.64242</v>
      </c>
      <c r="G106" s="35" t="n">
        <f aca="false">G17+G35</f>
        <v>77879.065635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8426.511104</v>
      </c>
      <c r="E109" s="36" t="n">
        <f aca="false">E106-E108</f>
        <v>24415.004314</v>
      </c>
      <c r="F109" s="36" t="n">
        <f aca="false">F106-F108</f>
        <v>46485.648941</v>
      </c>
      <c r="G109" s="36" t="n">
        <f aca="false">G106-G108</f>
        <v>69543.470356625</v>
      </c>
    </row>
    <row r="110" customFormat="false" ht="15" hidden="false" customHeight="true" outlineLevel="0" collapsed="false">
      <c r="A110" s="13" t="s">
        <v>620</v>
      </c>
      <c r="C110" s="16" t="n">
        <f aca="false">IFERROR(C109/C105,0)</f>
        <v>0.0595581287007327</v>
      </c>
      <c r="D110" s="16" t="n">
        <f aca="false">IFERROR(D109/D105,0)</f>
        <v>0.0763017202467962</v>
      </c>
      <c r="E110" s="16" t="n">
        <f aca="false">IFERROR(E109/E105,0)</f>
        <v>0.138945065137395</v>
      </c>
      <c r="F110" s="16" t="n">
        <f aca="false">IFERROR(F109/F105,0)</f>
        <v>0.187871647335146</v>
      </c>
      <c r="G110" s="16" t="n">
        <f aca="false">IFERROR(G109/G105,0)</f>
        <v>0.215933153766854</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3843.88085703782</v>
      </c>
      <c r="F111" s="35" t="n">
        <f aca="false">MAX(0,F136-F137)*Inputs!$B$20</f>
        <v>4560.55414173789</v>
      </c>
      <c r="G111" s="35" t="n">
        <f aca="false">MAX(0,G136-G137)*Inputs!$B$20</f>
        <v>5741.00244250177</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11868.1290389873</v>
      </c>
      <c r="E114" s="35" t="n">
        <f aca="false">E109+E111+E112-E113</f>
        <v>28258.8851710379</v>
      </c>
      <c r="F114" s="35" t="n">
        <f aca="false">F109+F111+F112-F113</f>
        <v>51046.2030827379</v>
      </c>
      <c r="G114" s="35" t="n">
        <f aca="false">G109+G111+G112-G113</f>
        <v>75284.4727991268</v>
      </c>
    </row>
    <row r="115" customFormat="false" ht="15" hidden="false" customHeight="true" outlineLevel="0" collapsed="false">
      <c r="A115" s="13" t="s">
        <v>625</v>
      </c>
      <c r="C115" s="35" t="n">
        <f aca="false">C114*Inputs!$B$58</f>
        <v>4617.7799522293</v>
      </c>
      <c r="D115" s="35" t="n">
        <f aca="false">D114*Inputs!$B$58</f>
        <v>8545.05290807083</v>
      </c>
      <c r="E115" s="35" t="n">
        <f aca="false">E114*Inputs!$B$58</f>
        <v>20346.3973231473</v>
      </c>
      <c r="F115" s="35" t="n">
        <f aca="false">F114*Inputs!$B$58</f>
        <v>36753.2662195713</v>
      </c>
      <c r="G115" s="35" t="n">
        <f aca="false">G114*Inputs!$B$58</f>
        <v>54204.8204153713</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260.70317448425</v>
      </c>
      <c r="E119" s="35" t="n">
        <f aca="false">MAX(0,E115-E117)*Inputs!$B$59</f>
        <v>1220.78383938884</v>
      </c>
      <c r="F119" s="35" t="n">
        <f aca="false">MAX(0,F115-F117)*Inputs!$B$59</f>
        <v>2205.19597317428</v>
      </c>
      <c r="G119" s="35" t="n">
        <f aca="false">MAX(0,G115-G117)*Inputs!$B$59</f>
        <v>3252.28922492228</v>
      </c>
    </row>
    <row r="120" customFormat="false" ht="15" hidden="false" customHeight="true" outlineLevel="0" collapsed="false">
      <c r="A120" s="13" t="s">
        <v>630</v>
      </c>
      <c r="C120" s="35" t="n">
        <f aca="false">C114-C119</f>
        <v>6136.51646985139</v>
      </c>
      <c r="D120" s="35" t="n">
        <f aca="false">D114-D119</f>
        <v>11607.425864503</v>
      </c>
      <c r="E120" s="35" t="n">
        <f aca="false">E114-E119</f>
        <v>27038.101331649</v>
      </c>
      <c r="F120" s="35" t="n">
        <f aca="false">F114-F119</f>
        <v>48841.0071095636</v>
      </c>
      <c r="G120" s="35" t="n">
        <f aca="false">G114-G119</f>
        <v>72032.1835742045</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1746.49419848067</v>
      </c>
      <c r="E124" s="35" t="n">
        <f aca="false">MAX(0,E120-E122)*Inputs!$B$55</f>
        <v>5678.0012796463</v>
      </c>
      <c r="F124" s="35" t="n">
        <f aca="false">MAX(0,F120-F122)*Inputs!$B$55</f>
        <v>10256.6114930084</v>
      </c>
      <c r="G124" s="35" t="n">
        <f aca="false">MAX(0,G120-G122)*Inputs!$B$55</f>
        <v>15126.7585505829</v>
      </c>
    </row>
    <row r="125" customFormat="false" ht="15" hidden="false" customHeight="true" outlineLevel="0" collapsed="false">
      <c r="A125" s="10" t="s">
        <v>635</v>
      </c>
      <c r="C125" s="36" t="n">
        <f aca="false">IF(Inputs!$H$105=0,MAX(0,C109+C111)*Inputs!B$66,IF(Inputs!$H$105=2,MAX(0,C114)*Inputs!$H$106,C119+C124))</f>
        <v>534.800488867516</v>
      </c>
      <c r="D125" s="36" t="n">
        <f aca="false">IF(Inputs!$H$105=0,MAX(0,D109+D111)*Inputs!C$66,IF(Inputs!$H$105=2,MAX(0,D114)*Inputs!$H$106,D119+D124))</f>
        <v>2007.19737296492</v>
      </c>
      <c r="E125" s="36" t="n">
        <f aca="false">IF(Inputs!$H$105=0,MAX(0,E109+E111)*Inputs!D$66,IF(Inputs!$H$105=2,MAX(0,E114)*Inputs!$H$106,E119+E124))</f>
        <v>6898.78511903513</v>
      </c>
      <c r="F125" s="36" t="n">
        <f aca="false">IF(Inputs!$H$105=0,MAX(0,F109+F111)*Inputs!E$66,IF(Inputs!$H$105=2,MAX(0,F114)*Inputs!$H$106,F119+F124))</f>
        <v>12461.8074661826</v>
      </c>
      <c r="G125" s="36" t="n">
        <f aca="false">IF(Inputs!$H$105=0,MAX(0,G109+G111)*Inputs!F$66,IF(Inputs!$H$105=2,MAX(0,G114)*Inputs!$H$106,G119+G124))</f>
        <v>18379.0477755052</v>
      </c>
    </row>
    <row r="126" customFormat="false" ht="15" hidden="false" customHeight="true" outlineLevel="0" collapsed="false">
      <c r="A126" s="13" t="s">
        <v>636</v>
      </c>
      <c r="C126" s="16" t="n">
        <f aca="false">IF(C114&gt;0,MIN(1,C125/C114),0)</f>
        <v>0.0833856</v>
      </c>
      <c r="D126" s="16" t="n">
        <f aca="false">IF(D114&gt;0,MIN(1,D125/D114),0)</f>
        <v>0.169125004149449</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9860.93166602235</v>
      </c>
      <c r="E127" s="35" t="n">
        <f aca="false">E109+E111-E125</f>
        <v>21360.1000520027</v>
      </c>
      <c r="F127" s="35" t="n">
        <f aca="false">F109+F111-F125</f>
        <v>38584.3956165553</v>
      </c>
      <c r="G127" s="35" t="n">
        <f aca="false">G109+G111-G125</f>
        <v>56905.4250236216</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16090.5168820224</v>
      </c>
      <c r="E131" s="36" t="n">
        <f aca="false">E109+E128+E108+E111-E125-E107+E129+E130</f>
        <v>28666.9313880027</v>
      </c>
      <c r="F131" s="36" t="n">
        <f aca="false">F109+F128+F108+F111-F125-F107+F129+F130</f>
        <v>47217.9320305553</v>
      </c>
      <c r="G131" s="36" t="n">
        <f aca="false">G109+G128+G108+G111-G125-G107+G129+G130</f>
        <v>66163.2190551216</v>
      </c>
    </row>
    <row r="132" customFormat="false" ht="15" hidden="false" customHeight="true" outlineLevel="0" collapsed="false">
      <c r="A132" s="10" t="s">
        <v>642</v>
      </c>
      <c r="C132" s="36" t="n">
        <f aca="false">C109+C108-(C125-C111*C126)-C107+C129+C130</f>
        <v>1333.91049871763</v>
      </c>
      <c r="D132" s="36" t="n">
        <f aca="false">D109+D108-(D125-D111*D126)-D107+D129+D130</f>
        <v>3467.40259457062</v>
      </c>
      <c r="E132" s="36" t="n">
        <f aca="false">E109+E108-(E125-E111*E126)-E107+E129+E130</f>
        <v>12309.4334768318</v>
      </c>
      <c r="F132" s="36" t="n">
        <f aca="false">F109+F108-(F125-F111*F126)-F107+F129+F130</f>
        <v>27880.5429503316</v>
      </c>
      <c r="G132" s="36" t="n">
        <f aca="false">G109+G108-(G125-G111*G126)-G107+G129+G130</f>
        <v>44798.5483069029</v>
      </c>
    </row>
    <row r="133" customFormat="false" ht="15" hidden="false" customHeight="true" outlineLevel="0" collapsed="false">
      <c r="A133" s="13" t="s">
        <v>643</v>
      </c>
      <c r="C133" s="16" t="n">
        <f aca="false">IFERROR(C132/C105,0)</f>
        <v>0.0245918384041449</v>
      </c>
      <c r="D133" s="16" t="n">
        <f aca="false">IFERROR(D132/D105,0)</f>
        <v>0.0313971914934467</v>
      </c>
      <c r="E133" s="16" t="n">
        <f aca="false">IFERROR(E132/E105,0)</f>
        <v>0.0700526206854732</v>
      </c>
      <c r="F133" s="16" t="n">
        <f aca="false">IFERROR(F132/F105,0)</f>
        <v>0.112679152641822</v>
      </c>
      <c r="G133" s="16" t="n">
        <f aca="false">IFERROR(G132/G105,0)</f>
        <v>0.139099929446716</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153755.234281513</v>
      </c>
      <c r="F136" s="35" t="n">
        <f aca="false">E141</f>
        <v>182422.165669516</v>
      </c>
      <c r="G136" s="35" t="n">
        <f aca="false">F141</f>
        <v>229640.097700071</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16090.5168820224</v>
      </c>
      <c r="E138" s="35" t="n">
        <f aca="false">E131</f>
        <v>28666.9313880027</v>
      </c>
      <c r="F138" s="35" t="n">
        <f aca="false">F131</f>
        <v>47217.9320305553</v>
      </c>
      <c r="G138" s="35" t="n">
        <f aca="false">G131</f>
        <v>66163.2190551216</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153755.234281513</v>
      </c>
      <c r="E141" s="36" t="n">
        <f aca="false">E136+E138+E139+E140</f>
        <v>182422.165669516</v>
      </c>
      <c r="F141" s="36" t="n">
        <f aca="false">F136+F138+F139+F140</f>
        <v>229640.097700071</v>
      </c>
      <c r="G141" s="36" t="n">
        <f aca="false">G136+G138+G139+G140</f>
        <v>295803.316755193</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153755.234281513</v>
      </c>
      <c r="F142" s="35" t="n">
        <f aca="false">MIN(F136-F137,F141)</f>
        <v>182422.165669516</v>
      </c>
      <c r="G142" s="35" t="n">
        <f aca="false">MIN(G136-G137,G141)</f>
        <v>229640.097700071</v>
      </c>
    </row>
    <row r="143" customFormat="false" ht="15" hidden="false" customHeight="true" outlineLevel="0" collapsed="false">
      <c r="A143" s="13" t="s">
        <v>654</v>
      </c>
      <c r="C143" s="35" t="n">
        <f aca="false">C142-Inputs!$B$29</f>
        <v>126845</v>
      </c>
      <c r="D143" s="35" t="n">
        <f aca="false">D142-Inputs!$B$29</f>
        <v>132664.717399491</v>
      </c>
      <c r="E143" s="35" t="n">
        <f aca="false">E142-Inputs!$B$29</f>
        <v>148755.234281513</v>
      </c>
      <c r="F143" s="35" t="n">
        <f aca="false">F142-Inputs!$B$29</f>
        <v>177422.165669516</v>
      </c>
      <c r="G143" s="35" t="n">
        <f aca="false">G142-Inputs!$B$29</f>
        <v>224640.097700071</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153755.234281513</v>
      </c>
      <c r="E156" s="35" t="n">
        <f aca="false">E141+SUM($C153:E153)+SUM($C154:E154)-SUM($C155:E155)</f>
        <v>182422.165669516</v>
      </c>
      <c r="F156" s="35" t="n">
        <f aca="false">F141+SUM($C153:F153)+SUM($C154:F154)-SUM($C155:F155)</f>
        <v>229640.097700071</v>
      </c>
      <c r="G156" s="35" t="n">
        <f aca="false">G141+SUM($C153:G153)+SUM($C154:G154)-SUM($C155:G155)</f>
        <v>295803.316755193</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153755.234281513</v>
      </c>
      <c r="F157" s="35" t="n">
        <f aca="false">MIN(F136-F137+SUM($C153:E153)+SUM($C154:E154)-SUM($C155:E155)+F153,F156)</f>
        <v>182422.165669516</v>
      </c>
      <c r="G157" s="35" t="n">
        <f aca="false">MIN(G136-G137+SUM($C153:F153)+SUM($C154:F154)-SUM($C155:F155)+G153,G156)</f>
        <v>229640.097700071</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Inputs!$B$19+Inputs!$H$104</f>
        <v>0.12</v>
      </c>
      <c r="G162" s="16" t="n">
        <f aca="false">Inputs!$B$19+Inputs!$H$104</f>
        <v>0.12</v>
      </c>
    </row>
    <row r="163" customFormat="false" ht="15" hidden="false" customHeight="true" outlineLevel="0" collapsed="false">
      <c r="A163" s="13" t="s">
        <v>673</v>
      </c>
      <c r="F163" s="35" t="n">
        <f aca="false">G53*(1-G70)</f>
        <v>41496.9512766411</v>
      </c>
      <c r="G163" s="35" t="n">
        <f aca="false">G109*(1-G126)</f>
        <v>52565.9620254029</v>
      </c>
    </row>
    <row r="164" customFormat="false" ht="15" hidden="false" customHeight="true" outlineLevel="0" collapsed="false">
      <c r="A164" s="13" t="s">
        <v>674</v>
      </c>
      <c r="F164" s="54" t="n">
        <f aca="false">Inputs!$H$102</f>
        <v>30</v>
      </c>
      <c r="G164" s="54" t="n">
        <f aca="false">Inputs!$H$102</f>
        <v>30</v>
      </c>
    </row>
    <row r="165" customFormat="false" ht="15" hidden="false" customHeight="true" outlineLevel="0" collapsed="false">
      <c r="A165" s="13" t="s">
        <v>675</v>
      </c>
      <c r="F165" s="35" t="n">
        <f aca="false">F163*F164</f>
        <v>1244908.53829923</v>
      </c>
      <c r="G165" s="35" t="n">
        <f aca="false">G163*G164</f>
        <v>1576978.86076209</v>
      </c>
    </row>
    <row r="166" customFormat="false" ht="15" hidden="false" customHeight="true" outlineLevel="0" collapsed="false">
      <c r="A166" s="13" t="s">
        <v>676</v>
      </c>
      <c r="F166" s="35" t="n">
        <f aca="false">F165*$G$21</f>
        <v>791161.882049696</v>
      </c>
      <c r="G166" s="35" t="n">
        <f aca="false">G165*$G$21</f>
        <v>1002198.57527656</v>
      </c>
    </row>
    <row r="167" customFormat="false" ht="15" hidden="false" customHeight="true" outlineLevel="0" collapsed="false">
      <c r="A167" s="13" t="s">
        <v>677</v>
      </c>
      <c r="F167" s="35" t="n">
        <f aca="false">SUMPRODUCT(D76:G76,$D$21:$G$21)-F162*SUMPRODUCT(D81:G81,$D$21:$G$21)</f>
        <v>49237.7233176332</v>
      </c>
      <c r="G167" s="35" t="n">
        <f aca="false">SUMPRODUCT(D132:G132,$D$21:$G$21)-G162*SUMPRODUCT(D137:G137,$D$21:$G$21)</f>
        <v>61224.007283264</v>
      </c>
    </row>
    <row r="168" customFormat="false" ht="15" hidden="false" customHeight="true" outlineLevel="0" collapsed="false">
      <c r="A168" s="13" t="s">
        <v>678</v>
      </c>
      <c r="F168" s="35" t="n">
        <f aca="false">F166+F167</f>
        <v>840399.605367329</v>
      </c>
      <c r="G168" s="35" t="n">
        <f aca="false">G166+G167</f>
        <v>1063422.58255982</v>
      </c>
    </row>
    <row r="169" customFormat="false" ht="15" hidden="false" customHeight="true" outlineLevel="0" collapsed="false">
      <c r="A169" s="13" t="s">
        <v>679</v>
      </c>
      <c r="F169" s="35" t="n">
        <f aca="false">(G76-G74)*Inputs!$H$103*$G$21</f>
        <v>622206.520132013</v>
      </c>
      <c r="G169" s="35" t="n">
        <f aca="false">(G132-G130)*Inputs!$H$103*$G$21</f>
        <v>797168.045389209</v>
      </c>
    </row>
    <row r="170" customFormat="false" ht="15" hidden="false" customHeight="true" outlineLevel="0" collapsed="false">
      <c r="A170" s="13" t="s">
        <v>680</v>
      </c>
      <c r="F170" s="35" t="n">
        <f aca="false">F167+F169</f>
        <v>671444.243449646</v>
      </c>
      <c r="G170" s="35" t="n">
        <f aca="false">G167+G169</f>
        <v>858392.052672474</v>
      </c>
    </row>
    <row r="171" customFormat="false" ht="15" hidden="false" customHeight="true" outlineLevel="0" collapsed="false">
      <c r="A171" s="13" t="s">
        <v>681</v>
      </c>
      <c r="F171" s="35" t="n">
        <f aca="false">F168*Inputs!$B$21+F170*(1-Inputs!$B$21)</f>
        <v>755921.924408488</v>
      </c>
      <c r="G171" s="35" t="n">
        <f aca="false">G168*Inputs!$B$21+G170*(1-Inputs!$B$21)</f>
        <v>960907.317616149</v>
      </c>
    </row>
    <row r="172" customFormat="false" ht="15" hidden="false" customHeight="true" outlineLevel="0" collapsed="false">
      <c r="A172" s="13" t="s">
        <v>682</v>
      </c>
      <c r="F172" s="16" t="n">
        <f aca="false">IFERROR(F166/F168,0)</f>
        <v>0.941411534461499</v>
      </c>
      <c r="G172" s="16" t="n">
        <f aca="false">IFERROR(G166/G168,0)</f>
        <v>0.942427395950265</v>
      </c>
    </row>
    <row r="173" customFormat="false" ht="15" hidden="false" customHeight="true" outlineLevel="0" collapsed="false">
      <c r="A173" s="13" t="s">
        <v>683</v>
      </c>
      <c r="F173" s="16" t="n">
        <f aca="false">IFERROR(F169/F170,0)</f>
        <v>0.926668932233796</v>
      </c>
      <c r="G173" s="16" t="n">
        <f aca="false">IFERROR(G169/G170,0)</f>
        <v>0.928675938817639</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893586.641807978</v>
      </c>
      <c r="G176" s="34" t="n">
        <f aca="false">G171+G174+G175</f>
        <v>1098572.03501564</v>
      </c>
    </row>
    <row r="177" customFormat="false" ht="15" hidden="false" customHeight="true" outlineLevel="0" collapsed="false">
      <c r="A177" s="13" t="s">
        <v>687</v>
      </c>
      <c r="F177" s="35" t="n">
        <f aca="false">IF(F182="OK",F176,"unresolved")</f>
        <v>893586.641807978</v>
      </c>
      <c r="G177" s="35" t="n">
        <f aca="false">IF(G182="OK",G176,"unresolved")</f>
        <v>1098572.03501564</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49.817898464805</v>
      </c>
      <c r="G179" s="25" t="n">
        <f aca="false">IF(G182="OK",G176/G178,"n/a")</f>
        <v>61.2459358008665</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49.817898464805</v>
      </c>
      <c r="G184" s="25" t="n">
        <f aca="false">IF(NOT(ISNUMBER(G179)),"unresolved",IF(G180=0,G179,(G176+G180/(1+G162)^IF(ISNUMBER(G149),MAX(0,G149-2027),0))/(G178+(G180/(1-Inputs!$B$31))/(G179*(1+G162)^IF(ISNUMBER(G149),MAX(0,G149-2027),0)*(1-0)))))</f>
        <v>61.2459358008665</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49.817898464805</v>
      </c>
      <c r="G185" s="25" t="n">
        <f aca="false">IF(NOT(ISNUMBER(G179)),"unresolved",IF(G180=0,G179,(G176+G180/(1+G162)^IF(ISNUMBER(G149),MAX(0,G149-2027),0))/(G178+(G180/(1-Inputs!$B$31))/(G179*(1+G162)^IF(ISNUMBER(G149),MAX(0,G149-2027),0)*(1-Inputs!$B$30)))))</f>
        <v>61.2459358008665</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49.817898464805</v>
      </c>
      <c r="G186" s="25" t="n">
        <f aca="false">IF(NOT(ISNUMBER(G179)),"unresolved",IF(G180=0,G179,(G176+G180/(1+G162)^IF(ISNUMBER(G149),MAX(0,G149-2027),0))/(G178+(G180/(1-Inputs!$B$31))/(G179*(1+G162)^IF(ISNUMBER(G149),MAX(0,G149-2027),0)*(1-0.3)))))</f>
        <v>61.2459358008665</v>
      </c>
    </row>
    <row r="187" customFormat="false" ht="15" hidden="false" customHeight="true" outlineLevel="0" collapsed="false">
      <c r="A187" s="13" t="s">
        <v>696</v>
      </c>
      <c r="F187" s="25" t="n">
        <f aca="false">F185</f>
        <v>49.817898464805</v>
      </c>
      <c r="G187" s="25" t="n">
        <f aca="false">G185</f>
        <v>61.2459358008665</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49.817898464805</v>
      </c>
      <c r="G189" s="12" t="n">
        <f aca="false">IF(ISNUMBER(G187),G187/(1+Inputs!$B$25)^G188,"unresolved")</f>
        <v>61.2459358008665</v>
      </c>
    </row>
    <row r="190" customFormat="false" ht="15" hidden="false" customHeight="true" outlineLevel="0" collapsed="false">
      <c r="A190" s="13" t="s">
        <v>699</v>
      </c>
      <c r="F190" s="25" t="n">
        <f aca="false">IF(F180=0,F189,"unresolved")</f>
        <v>49.817898464805</v>
      </c>
      <c r="G190" s="25" t="n">
        <f aca="false">IF(G180=0,G189,"unresolved")</f>
        <v>61.2459358008665</v>
      </c>
    </row>
    <row r="191" customFormat="false" ht="15" hidden="false" customHeight="true" outlineLevel="0" collapsed="false">
      <c r="A191" s="13" t="s">
        <v>700</v>
      </c>
      <c r="F191" s="35" t="n">
        <f aca="false">IF(ISNUMBER(F179),F176+F180/(1+F162)^IF(ISNUMBER(G93),MAX(0,G93-2027),0),"unresolved")</f>
        <v>893586.641807978</v>
      </c>
      <c r="G191" s="35" t="n">
        <f aca="false">IF(ISNUMBER(G179),G176+G180/(1+G162)^IF(ISNUMBER(G149),MAX(0,G149-2027),0),"unresolved")</f>
        <v>1098572.03501564</v>
      </c>
    </row>
    <row r="192" customFormat="false" ht="15" hidden="false" customHeight="true" outlineLevel="0" collapsed="false">
      <c r="A192" s="13" t="s">
        <v>701</v>
      </c>
      <c r="F192" s="28" t="n">
        <f aca="false">IFERROR(F191/D49,"n/a")</f>
        <v>8.23703626164207</v>
      </c>
      <c r="G192" s="28" t="n">
        <f aca="false">IFERROR(G191/D105,"n/a")</f>
        <v>9.94752573777857</v>
      </c>
    </row>
    <row r="193" customFormat="false" ht="15" hidden="false" customHeight="true" outlineLevel="0" collapsed="false">
      <c r="A193" s="13" t="s">
        <v>702</v>
      </c>
      <c r="F193" s="25" t="n">
        <f aca="false">(F168+F174)/F178</f>
        <v>54.5275710758847</v>
      </c>
      <c r="G193" s="25" t="n">
        <f aca="false">(G168+G174)/G178</f>
        <v>66.9612126650366</v>
      </c>
    </row>
    <row r="194" customFormat="false" ht="15" hidden="false" customHeight="true" outlineLevel="0" collapsed="false">
      <c r="A194" s="13" t="s">
        <v>703</v>
      </c>
      <c r="F194" s="25" t="n">
        <f aca="false">(F170+F174)/F178</f>
        <v>45.1082258537252</v>
      </c>
      <c r="G194" s="25" t="n">
        <f aca="false">(G170+G174)/G178</f>
        <v>55.5306589366963</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712</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Historicals!F35+(Inputs!$B$5+Inputs!$I$75)</f>
        <v>54242</v>
      </c>
      <c r="D5" s="35" t="n">
        <f aca="false">C5*(1+Inputs!$I$77)</f>
        <v>81363</v>
      </c>
      <c r="E5" s="35" t="n">
        <f aca="false">D5*(1+Inputs!$I$78)</f>
        <v>103737.825</v>
      </c>
      <c r="F5" s="35" t="n">
        <f aca="false">E5*(1+Inputs!$I$79)</f>
        <v>121891.944375</v>
      </c>
      <c r="G5" s="35" t="n">
        <f aca="false">F5*(1+Inputs!$I$80)</f>
        <v>137128.437421875</v>
      </c>
    </row>
    <row r="6" customFormat="false" ht="15" hidden="false" customHeight="true" outlineLevel="0" collapsed="false">
      <c r="A6" s="13" t="s">
        <v>580</v>
      </c>
      <c r="C6" s="16" t="n">
        <f aca="false">IFERROR(C5/B5-1,0)</f>
        <v>10.8303162486369</v>
      </c>
      <c r="D6" s="16" t="n">
        <f aca="false">IFERROR(D5/C5-1,0)</f>
        <v>0.5</v>
      </c>
      <c r="E6" s="16" t="n">
        <f aca="false">IFERROR(E5/D5-1,0)</f>
        <v>0.275</v>
      </c>
      <c r="F6" s="16" t="n">
        <f aca="false">IFERROR(F5/E5-1,0)</f>
        <v>0.175</v>
      </c>
      <c r="G6" s="16" t="n">
        <f aca="false">IFERROR(G5/F5-1,0)</f>
        <v>0.125</v>
      </c>
    </row>
    <row r="7" customFormat="false" ht="15" hidden="false" customHeight="true" outlineLevel="0" collapsed="false">
      <c r="A7" s="13" t="s">
        <v>581</v>
      </c>
      <c r="B7" s="41" t="n">
        <f aca="false">Historicals!D51</f>
        <v>789</v>
      </c>
      <c r="C7" s="35" t="n">
        <f aca="false">Historicals!F51+(Inputs!$B$5+Inputs!$I$75)*Historicals!F51/Historicals!F35</f>
        <v>10731.163207663</v>
      </c>
      <c r="D7" s="35" t="n">
        <f aca="false">D5*Inputs!$I$76</f>
        <v>16272.6</v>
      </c>
      <c r="E7" s="35" t="n">
        <f aca="false">E5*Inputs!$I$76</f>
        <v>20747.565</v>
      </c>
      <c r="F7" s="35" t="n">
        <f aca="false">F5*Inputs!$I$76</f>
        <v>24378.388875</v>
      </c>
      <c r="G7" s="35" t="n">
        <f aca="false">G5*Inputs!$I$76</f>
        <v>27425.687484375</v>
      </c>
    </row>
    <row r="8" customFormat="false" ht="15" hidden="false" customHeight="true" outlineLevel="0" collapsed="false">
      <c r="A8" s="13" t="s">
        <v>582</v>
      </c>
      <c r="B8" s="35" t="n">
        <f aca="false">B5-B7</f>
        <v>3796</v>
      </c>
      <c r="C8" s="35" t="n">
        <f aca="false">C5-C7</f>
        <v>43510.836792337</v>
      </c>
      <c r="D8" s="35" t="n">
        <f aca="false">D5-D7</f>
        <v>65090.4</v>
      </c>
      <c r="E8" s="35" t="n">
        <f aca="false">E5-E7</f>
        <v>82990.26</v>
      </c>
      <c r="F8" s="35" t="n">
        <f aca="false">F5-F7</f>
        <v>97513.5555</v>
      </c>
      <c r="G8" s="35" t="n">
        <f aca="false">G5-G7</f>
        <v>109702.7499375</v>
      </c>
    </row>
    <row r="9" customFormat="false" ht="15" hidden="false" customHeight="true" outlineLevel="0" collapsed="false">
      <c r="A9" s="13" t="s">
        <v>583</v>
      </c>
      <c r="C9" s="35" t="n">
        <f aca="false">Historicals!F36+Historicals!H6+Inputs!$I$75*Inputs!$I$81</f>
        <v>28258</v>
      </c>
      <c r="D9" s="35" t="n">
        <f aca="false">(C9-Inputs!$I$113)*(1+Inputs!$I$82)</f>
        <v>48038.6</v>
      </c>
      <c r="E9" s="35" t="n">
        <f aca="false">D9*(1+Inputs!$I$83)</f>
        <v>69655.97</v>
      </c>
      <c r="F9" s="35" t="n">
        <f aca="false">E9*(1+Inputs!$I$84)</f>
        <v>90552.761</v>
      </c>
      <c r="G9" s="35" t="n">
        <f aca="false">F9*(1+Inputs!$I$85)</f>
        <v>108663.3132</v>
      </c>
    </row>
    <row r="10" customFormat="false" ht="15" hidden="false" customHeight="true" outlineLevel="0" collapsed="false">
      <c r="A10" s="13" t="s">
        <v>219</v>
      </c>
      <c r="B10" s="41" t="n">
        <f aca="false">Historicals!D36</f>
        <v>7326</v>
      </c>
      <c r="C10" s="35" t="n">
        <f aca="false">Historicals!F36+Historicals!H6+MAX(Inputs!$I$75*Inputs!$I$81,Inputs!$I$108*C22)</f>
        <v>28258</v>
      </c>
      <c r="D10" s="35" t="n">
        <f aca="false">MAX(D9,Inputs!$I$108*D22)</f>
        <v>48038.6</v>
      </c>
      <c r="E10" s="35" t="n">
        <f aca="false">MAX(E9,Inputs!$I$108*E22)</f>
        <v>69655.97</v>
      </c>
      <c r="F10" s="35" t="n">
        <f aca="false">MAX(F9,Inputs!$I$108*F22)</f>
        <v>90552.761</v>
      </c>
      <c r="G10" s="35" t="n">
        <f aca="false">MAX(G9,Inputs!$I$108*G22)</f>
        <v>108663.3132</v>
      </c>
    </row>
    <row r="11" customFormat="false" ht="15" hidden="false" customHeight="true" outlineLevel="0" collapsed="false">
      <c r="A11" s="13" t="s">
        <v>220</v>
      </c>
      <c r="B11" s="41" t="n">
        <f aca="false">Historicals!D37</f>
        <v>1839</v>
      </c>
      <c r="C11" s="35" t="n">
        <f aca="false">Historicals!F37+Historicals!H7+Inputs!$I$75*Historicals!H24</f>
        <v>6982.0728945506</v>
      </c>
      <c r="D11" s="35" t="n">
        <f aca="false">D5*Inputs!$I$86</f>
        <v>11390.82</v>
      </c>
      <c r="E11" s="35" t="n">
        <f aca="false">E5*Inputs!$I$87</f>
        <v>13485.91725</v>
      </c>
      <c r="F11" s="35" t="n">
        <f aca="false">F5*Inputs!$I$88</f>
        <v>14627.033325</v>
      </c>
      <c r="G11" s="35" t="n">
        <f aca="false">G5*Inputs!$I$89</f>
        <v>15084.1281164063</v>
      </c>
    </row>
    <row r="12" customFormat="false" ht="15" hidden="false" customHeight="true" outlineLevel="0" collapsed="false">
      <c r="A12" s="13" t="s">
        <v>584</v>
      </c>
      <c r="B12" s="41" t="n">
        <f aca="false">Historicals!D49</f>
        <v>1158</v>
      </c>
      <c r="C12" s="35" t="n">
        <f aca="false">Historicals!F49+Historicals!H19+Inputs!$I$75*Historicals!H29</f>
        <v>4580.19462137297</v>
      </c>
      <c r="D12" s="35" t="n">
        <f aca="false">D5*Inputs!$I$90</f>
        <v>7322.67</v>
      </c>
      <c r="E12" s="35" t="n">
        <f aca="false">E5*Inputs!$I$91</f>
        <v>8299.026</v>
      </c>
      <c r="F12" s="35" t="n">
        <f aca="false">F5*Inputs!$I$92</f>
        <v>8532.43610625</v>
      </c>
      <c r="G12" s="35" t="n">
        <f aca="false">G5*Inputs!$I$93</f>
        <v>8227.7062453125</v>
      </c>
    </row>
    <row r="13" customFormat="false" ht="15" hidden="false" customHeight="true" outlineLevel="0" collapsed="false">
      <c r="A13" s="13" t="s">
        <v>585</v>
      </c>
      <c r="B13" s="41" t="n">
        <f aca="false">Historicals!D39</f>
        <v>568</v>
      </c>
      <c r="C13" s="35" t="n">
        <f aca="false">Historicals!F39+Historicals!H9+Inputs!$I$75*Historicals!H25</f>
        <v>8453.09766454352</v>
      </c>
      <c r="D13" s="35" t="n">
        <f aca="false">D5*Inputs!$I$94</f>
        <v>13831.71</v>
      </c>
      <c r="E13" s="35" t="n">
        <f aca="false">E5*Inputs!$I$95</f>
        <v>16598.052</v>
      </c>
      <c r="F13" s="35" t="n">
        <f aca="false">F5*Inputs!$I$96</f>
        <v>18283.79165625</v>
      </c>
      <c r="G13" s="35" t="n">
        <f aca="false">G5*Inputs!$I$97</f>
        <v>20569.2656132813</v>
      </c>
    </row>
    <row r="14" customFormat="false" ht="15" hidden="false" customHeight="true" outlineLevel="0" collapsed="false">
      <c r="A14" s="13" t="s">
        <v>586</v>
      </c>
      <c r="B14" s="41" t="n">
        <f aca="false">Historicals!D40</f>
        <v>1412</v>
      </c>
      <c r="C14" s="35" t="n">
        <f aca="false">Historicals!F40+Historicals!H10-Inputs!$B$37+Inputs!$I$75*(Historicals!H10-Inputs!$B$37)/Historicals!H5</f>
        <v>5358.27742392074</v>
      </c>
      <c r="D14" s="35" t="n">
        <f aca="false">D5*Inputs!$I$98</f>
        <v>6509.04</v>
      </c>
      <c r="E14" s="35" t="n">
        <f aca="false">E5*Inputs!$I$99</f>
        <v>7261.64775</v>
      </c>
      <c r="F14" s="35" t="n">
        <f aca="false">F5*Inputs!$I$100</f>
        <v>7313.5166625</v>
      </c>
      <c r="G14" s="35" t="n">
        <f aca="false">G5*Inputs!$I$101</f>
        <v>8227.7062453125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79770.17</v>
      </c>
      <c r="E16" s="36" t="n">
        <f aca="false">E10+E11+E13+E14+E15</f>
        <v>107001.587</v>
      </c>
      <c r="F16" s="36" t="n">
        <f aca="false">F10+F11+F13+F14+F15</f>
        <v>130777.10264375</v>
      </c>
      <c r="G16" s="36" t="n">
        <f aca="false">G10+G11+G13+G14+G15</f>
        <v>152544.413175</v>
      </c>
    </row>
    <row r="17" customFormat="false" ht="15" hidden="false" customHeight="true" outlineLevel="0" collapsed="false">
      <c r="A17" s="10" t="s">
        <v>588</v>
      </c>
      <c r="B17" s="34" t="n">
        <f aca="false">B5-B16</f>
        <v>-8060</v>
      </c>
      <c r="C17" s="34" t="n">
        <f aca="false">C5-C16</f>
        <v>3230.55201698514</v>
      </c>
      <c r="D17" s="34" t="n">
        <f aca="false">D5-D16</f>
        <v>1592.83</v>
      </c>
      <c r="E17" s="34" t="n">
        <f aca="false">E5-E16</f>
        <v>-3263.762</v>
      </c>
      <c r="F17" s="34" t="n">
        <f aca="false">F5-F16</f>
        <v>-8885.15826874999</v>
      </c>
      <c r="G17" s="34" t="n">
        <f aca="false">G5-G16</f>
        <v>-15415.975753125</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0.0195768346791539</v>
      </c>
      <c r="E18" s="16" t="n">
        <f aca="false">IFERROR(E17/E5,0)</f>
        <v>-0.0314616389923348</v>
      </c>
      <c r="F18" s="16" t="n">
        <f aca="false">IFERROR(F17/F5,0)</f>
        <v>-0.0728937282468384</v>
      </c>
      <c r="G18" s="16" t="n">
        <f aca="false">IFERROR(G17/G5,0)</f>
        <v>-0.112419976796628</v>
      </c>
    </row>
    <row r="19" customFormat="false" ht="15" hidden="false" customHeight="true" outlineLevel="0" collapsed="false">
      <c r="A19" s="13" t="s">
        <v>590</v>
      </c>
      <c r="B19" s="16" t="n">
        <f aca="false">IFERROR(B10/B5,0)</f>
        <v>1.59781897491821</v>
      </c>
      <c r="C19" s="16" t="n">
        <f aca="false">IFERROR(C10/C5,0)</f>
        <v>0.52096161645957</v>
      </c>
      <c r="D19" s="16" t="n">
        <f aca="false">IFERROR(D10/D5,0)</f>
        <v>0.590423165320846</v>
      </c>
      <c r="E19" s="16" t="n">
        <f aca="false">IFERROR(E10/E5,0)</f>
        <v>0.671461638992335</v>
      </c>
      <c r="F19" s="16" t="n">
        <f aca="false">IFERROR(F10/F5,0)</f>
        <v>0.742893728246838</v>
      </c>
      <c r="G19" s="16" t="n">
        <f aca="false">IFERROR(G10/G5,0)</f>
        <v>0.792419976796628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1/(1+Inputs!$B$19+Inputs!$I$104)^1</f>
        <v>0.892857142857143</v>
      </c>
      <c r="E21" s="53" t="n">
        <f aca="false">1/(1+Inputs!$B$19+Inputs!$I$104)^2</f>
        <v>0.79719387755102</v>
      </c>
      <c r="F21" s="53" t="n">
        <f aca="false">1/(1+Inputs!$B$19+Inputs!$I$104)^3</f>
        <v>0.711780247813411</v>
      </c>
      <c r="G21" s="53" t="n">
        <f aca="false">1/(1+Inputs!$B$19+Inputs!$I$104)^4</f>
        <v>0.635518078404831</v>
      </c>
    </row>
    <row r="22" customFormat="false" ht="15" hidden="false" customHeight="true" outlineLevel="0" collapsed="false">
      <c r="A22" s="13" t="s">
        <v>593</v>
      </c>
      <c r="C22" s="35" t="n">
        <f aca="false">Inputs!B$69+Inputs!$B$47*Inputs!$B$46</f>
        <v>11231</v>
      </c>
      <c r="D22" s="35" t="n">
        <f aca="false">Inputs!C$69+Inputs!$B$47*(1-Inputs!$B$46)+Inputs!$B$70*Inputs!$I$109</f>
        <v>97550</v>
      </c>
      <c r="E22" s="35" t="n">
        <f aca="false">Inputs!D$69+Inputs!$B$70*Inputs!$I$110</f>
        <v>107338.25</v>
      </c>
      <c r="F22" s="35" t="n">
        <f aca="false">Inputs!E$69+Inputs!$B$70*Inputs!$I$111</f>
        <v>117031.375</v>
      </c>
      <c r="G22" s="35" t="n">
        <f aca="false">Inputs!F$69+Inputs!$B$70*Inputs!$I$112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1627.26</v>
      </c>
      <c r="E25" s="35" t="n">
        <f aca="false">E5*E24</f>
        <v>5186.89125</v>
      </c>
      <c r="F25" s="35" t="n">
        <f aca="false">F5*F24</f>
        <v>12189.1944375</v>
      </c>
      <c r="G25" s="35" t="n">
        <f aca="false">G5*G24</f>
        <v>20569.2656132813</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13018.08</v>
      </c>
      <c r="E27" s="35" t="n">
        <f aca="false">E25*E26</f>
        <v>41495.13</v>
      </c>
      <c r="F27" s="35" t="n">
        <f aca="false">F25*F26</f>
        <v>97513.5555</v>
      </c>
      <c r="G27" s="35" t="n">
        <f aca="false">G25*G26</f>
        <v>164554.12490625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1952.712</v>
      </c>
      <c r="E29" s="36" t="n">
        <f aca="false">E27*E28</f>
        <v>6224.2695</v>
      </c>
      <c r="F29" s="36" t="n">
        <f aca="false">F27*F28</f>
        <v>14627.033325</v>
      </c>
      <c r="G29" s="36" t="n">
        <f aca="false">G27*G28</f>
        <v>24683.1187359375</v>
      </c>
    </row>
    <row r="30" customFormat="false" ht="15" hidden="false" customHeight="true" outlineLevel="0" collapsed="false">
      <c r="A30" s="13" t="s">
        <v>601</v>
      </c>
      <c r="C30" s="35" t="n">
        <f aca="false">C25*Inputs!$C$124</f>
        <v>0</v>
      </c>
      <c r="D30" s="35" t="n">
        <f aca="false">D25*Inputs!$C$124</f>
        <v>488.178</v>
      </c>
      <c r="E30" s="35" t="n">
        <f aca="false">E25*Inputs!$C$124</f>
        <v>1556.067375</v>
      </c>
      <c r="F30" s="35" t="n">
        <f aca="false">F25*Inputs!$C$124</f>
        <v>3656.75833125</v>
      </c>
      <c r="G30" s="35" t="n">
        <f aca="false">G25*Inputs!$C$124</f>
        <v>6170.77968398438</v>
      </c>
    </row>
    <row r="31" customFormat="false" ht="15" hidden="false" customHeight="true" outlineLevel="0" collapsed="false">
      <c r="A31" s="13" t="s">
        <v>602</v>
      </c>
      <c r="C31" s="35" t="n">
        <f aca="false">C29-C30</f>
        <v>0</v>
      </c>
      <c r="D31" s="35" t="n">
        <f aca="false">D29-D30</f>
        <v>1464.534</v>
      </c>
      <c r="E31" s="35" t="n">
        <f aca="false">E29-E30</f>
        <v>4668.202125</v>
      </c>
      <c r="F31" s="35" t="n">
        <f aca="false">F29-F30</f>
        <v>10970.27499375</v>
      </c>
      <c r="G31" s="35" t="n">
        <f aca="false">G29-G30</f>
        <v>18512.3390519531</v>
      </c>
    </row>
    <row r="32" customFormat="false" ht="15" hidden="false" customHeight="true" outlineLevel="0" collapsed="false">
      <c r="A32" s="13" t="s">
        <v>603</v>
      </c>
      <c r="C32" s="35" t="n">
        <f aca="false">C29*Inputs!$C$125</f>
        <v>0</v>
      </c>
      <c r="D32" s="35" t="n">
        <f aca="false">D29*Inputs!$C$125</f>
        <v>390.5424</v>
      </c>
      <c r="E32" s="35" t="n">
        <f aca="false">E29*Inputs!$C$125</f>
        <v>1244.8539</v>
      </c>
      <c r="F32" s="35" t="n">
        <f aca="false">F29*Inputs!$C$125</f>
        <v>2925.406665</v>
      </c>
      <c r="G32" s="35" t="n">
        <f aca="false">G29*Inputs!$C$125</f>
        <v>4936.6237471875</v>
      </c>
    </row>
    <row r="33" customFormat="false" ht="15" hidden="false" customHeight="true" outlineLevel="0" collapsed="false">
      <c r="A33" s="13" t="s">
        <v>604</v>
      </c>
      <c r="C33" s="35" t="n">
        <f aca="false">C29*Inputs!$C$126</f>
        <v>0</v>
      </c>
      <c r="D33" s="35" t="n">
        <f aca="false">D29*Inputs!$C$126</f>
        <v>292.9068</v>
      </c>
      <c r="E33" s="35" t="n">
        <f aca="false">E29*Inputs!$C$126</f>
        <v>933.640425</v>
      </c>
      <c r="F33" s="35" t="n">
        <f aca="false">F29*Inputs!$C$126</f>
        <v>2194.05499875</v>
      </c>
      <c r="G33" s="35" t="n">
        <f aca="false">G29*Inputs!$C$126</f>
        <v>3702.46781039063</v>
      </c>
    </row>
    <row r="34" customFormat="false" ht="15" hidden="false" customHeight="true" outlineLevel="0" collapsed="false">
      <c r="A34" s="13" t="s">
        <v>605</v>
      </c>
      <c r="C34" s="35" t="n">
        <f aca="false">C29*Inputs!$C$127</f>
        <v>0</v>
      </c>
      <c r="D34" s="35" t="n">
        <f aca="false">D29*Inputs!$C$127</f>
        <v>195.2712</v>
      </c>
      <c r="E34" s="35" t="n">
        <f aca="false">E29*Inputs!$C$127</f>
        <v>622.42695</v>
      </c>
      <c r="F34" s="35" t="n">
        <f aca="false">F29*Inputs!$C$127</f>
        <v>1462.7033325</v>
      </c>
      <c r="G34" s="35" t="n">
        <f aca="false">G29*Inputs!$C$127</f>
        <v>2468.31187359375</v>
      </c>
    </row>
    <row r="35" customFormat="false" ht="15" hidden="false" customHeight="true" outlineLevel="0" collapsed="false">
      <c r="A35" s="10" t="s">
        <v>606</v>
      </c>
      <c r="C35" s="34" t="n">
        <f aca="false">C29-C30-C32-C33-C34</f>
        <v>0</v>
      </c>
      <c r="D35" s="34" t="n">
        <f aca="false">D29-D30-D32-D33-D34</f>
        <v>585.8136</v>
      </c>
      <c r="E35" s="34" t="n">
        <f aca="false">E29-E30-E32-E33-E34</f>
        <v>1867.28085</v>
      </c>
      <c r="F35" s="34" t="n">
        <f aca="false">F29-F30-F32-F33-F34</f>
        <v>4388.1099975</v>
      </c>
      <c r="G35" s="34" t="n">
        <f aca="false">G29-G30-G32-G33-G34</f>
        <v>7404.93562078125</v>
      </c>
    </row>
    <row r="36" customFormat="false" ht="15" hidden="false" customHeight="true" outlineLevel="0" collapsed="false">
      <c r="A36" s="13" t="s">
        <v>92</v>
      </c>
      <c r="C36" s="55" t="n">
        <f aca="false">IFERROR(C27/Inputs!$B$27,0)</f>
        <v>0</v>
      </c>
      <c r="D36" s="55" t="n">
        <f aca="false">IFERROR(D27/Inputs!$B$27,0)</f>
        <v>0.000325452</v>
      </c>
      <c r="E36" s="55" t="n">
        <f aca="false">IFERROR(E27/Inputs!$B$27,0)</f>
        <v>0.00103737825</v>
      </c>
      <c r="F36" s="55" t="n">
        <f aca="false">IFERROR(F27/Inputs!$B$27,0)</f>
        <v>0.0024378388875</v>
      </c>
      <c r="G36" s="55" t="n">
        <f aca="false">IFERROR(G27/Inputs!$B$27,0)</f>
        <v>0.00411385312265625</v>
      </c>
    </row>
    <row r="37" customFormat="false" ht="15" hidden="false" customHeight="true" outlineLevel="0" collapsed="false">
      <c r="A37" s="13" t="s">
        <v>607</v>
      </c>
      <c r="C37" s="35" t="n">
        <f aca="false">CHOOSE(Inputs!$B$35,C31*Inputs!B$67,C29*Inputs!$B$36,0)</f>
        <v>0</v>
      </c>
      <c r="D37" s="35" t="n">
        <f aca="false">CHOOSE(Inputs!$B$35,D31*Inputs!C$67,D29*Inputs!$B$36,0)</f>
        <v>58.58136</v>
      </c>
      <c r="E37" s="35" t="n">
        <f aca="false">CHOOSE(Inputs!$B$35,E31*Inputs!D$67,E29*Inputs!$B$36,0)</f>
        <v>233.41010625</v>
      </c>
      <c r="F37" s="35" t="n">
        <f aca="false">CHOOSE(Inputs!$B$35,F31*Inputs!E$67,F29*Inputs!$B$36,0)</f>
        <v>548.5137496875</v>
      </c>
      <c r="G37" s="35" t="n">
        <f aca="false">CHOOSE(Inputs!$B$35,G31*Inputs!F$67,G29*Inputs!$B$36,0)</f>
        <v>925.616952597656</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Inputs!$I$107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81363</v>
      </c>
      <c r="E49" s="35" t="n">
        <f aca="false">E5</f>
        <v>103737.825</v>
      </c>
      <c r="F49" s="35" t="n">
        <f aca="false">F5</f>
        <v>121891.944375</v>
      </c>
      <c r="G49" s="35" t="n">
        <f aca="false">G5</f>
        <v>137128.437421875</v>
      </c>
    </row>
    <row r="50" customFormat="false" ht="15" hidden="false" customHeight="true" outlineLevel="0" collapsed="false">
      <c r="A50" s="13" t="s">
        <v>588</v>
      </c>
      <c r="C50" s="35" t="n">
        <f aca="false">C17</f>
        <v>3230.55201698514</v>
      </c>
      <c r="D50" s="35" t="n">
        <f aca="false">D17</f>
        <v>1592.83</v>
      </c>
      <c r="E50" s="35" t="n">
        <f aca="false">E17</f>
        <v>-3263.762</v>
      </c>
      <c r="F50" s="35" t="n">
        <f aca="false">F17</f>
        <v>-8885.15826874999</v>
      </c>
      <c r="G50" s="35" t="n">
        <f aca="false">G17</f>
        <v>-15415.975753125</v>
      </c>
    </row>
    <row r="51" customFormat="false" ht="15" hidden="false" customHeight="true" outlineLevel="0" collapsed="false">
      <c r="A51" s="13" t="s">
        <v>617</v>
      </c>
      <c r="C51" s="35" t="n">
        <f aca="false">C5*Inputs!B$67</f>
        <v>1627.26</v>
      </c>
      <c r="D51" s="35" t="n">
        <f aca="false">D5*Inputs!C$67</f>
        <v>3254.52</v>
      </c>
      <c r="E51" s="35" t="n">
        <f aca="false">E5*Inputs!D$67</f>
        <v>5186.89125</v>
      </c>
      <c r="F51" s="35" t="n">
        <f aca="false">F5*Inputs!E$67</f>
        <v>6094.59721875</v>
      </c>
      <c r="G51" s="35" t="n">
        <f aca="false">G5*Inputs!F$67</f>
        <v>6856.42187109375</v>
      </c>
    </row>
    <row r="52" customFormat="false" ht="15" hidden="false" customHeight="true" outlineLevel="0" collapsed="false">
      <c r="A52" s="13" t="s">
        <v>618</v>
      </c>
      <c r="C52" s="33" t="n">
        <v>0</v>
      </c>
      <c r="D52" s="35" t="n">
        <f aca="false">SUMPRODUCT($D51:D51,--((4-COLUMN($D51:D51))&lt;Inputs!$B$32))/Inputs!$B$32</f>
        <v>650.904</v>
      </c>
      <c r="E52" s="35" t="n">
        <f aca="false">SUMPRODUCT($D51:E51,--((5-COLUMN($D51:E51))&lt;Inputs!$B$32))/Inputs!$B$32</f>
        <v>1688.28225</v>
      </c>
      <c r="F52" s="35" t="n">
        <f aca="false">SUMPRODUCT($D51:F51,--((6-COLUMN($D51:F51))&lt;Inputs!$B$32))/Inputs!$B$32</f>
        <v>2907.20169375</v>
      </c>
      <c r="G52" s="35" t="n">
        <f aca="false">SUMPRODUCT($D51:G51,--((7-COLUMN($D51:G51))&lt;Inputs!$B$32))/Inputs!$B$32</f>
        <v>4278.48606796875</v>
      </c>
    </row>
    <row r="53" customFormat="false" ht="15" hidden="false" customHeight="true" outlineLevel="0" collapsed="false">
      <c r="A53" s="10" t="s">
        <v>619</v>
      </c>
      <c r="C53" s="36" t="n">
        <f aca="false">C50-C52</f>
        <v>3230.55201698514</v>
      </c>
      <c r="D53" s="36" t="n">
        <f aca="false">D50-D52</f>
        <v>941.926000000002</v>
      </c>
      <c r="E53" s="36" t="n">
        <f aca="false">E50-E52</f>
        <v>-4952.04425</v>
      </c>
      <c r="F53" s="36" t="n">
        <f aca="false">F50-F52</f>
        <v>-11792.3599625</v>
      </c>
      <c r="G53" s="36" t="n">
        <f aca="false">G50-G52</f>
        <v>-19694.4618210937</v>
      </c>
    </row>
    <row r="54" customFormat="false" ht="15" hidden="false" customHeight="true" outlineLevel="0" collapsed="false">
      <c r="A54" s="13" t="s">
        <v>620</v>
      </c>
      <c r="C54" s="16" t="n">
        <f aca="false">IFERROR(C53/C49,0)</f>
        <v>0.0595581287007327</v>
      </c>
      <c r="D54" s="16" t="n">
        <f aca="false">IFERROR(D53/D49,0)</f>
        <v>0.0115768346791539</v>
      </c>
      <c r="E54" s="16" t="n">
        <f aca="false">IFERROR(E53/E49,0)</f>
        <v>-0.0477361487962564</v>
      </c>
      <c r="F54" s="16" t="n">
        <f aca="false">IFERROR(F53/F49,0)</f>
        <v>-0.0967443748884738</v>
      </c>
      <c r="G54" s="16" t="n">
        <f aca="false">IFERROR(G53/G49,0)</f>
        <v>-0.143620551589192</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3663.44590852989</v>
      </c>
      <c r="F55" s="35" t="n">
        <f aca="false">MAX(0,F80-F81)*Inputs!$B$20</f>
        <v>3751.24137499314</v>
      </c>
      <c r="G55" s="35" t="n">
        <f aca="false">MAX(0,G80-G81)*Inputs!$B$20</f>
        <v>3683.83942483671</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4383.54393498727</v>
      </c>
      <c r="E58" s="35" t="n">
        <f aca="false">E53+E55+E56-E57</f>
        <v>-1288.59834147012</v>
      </c>
      <c r="F58" s="35" t="n">
        <f aca="false">F53+F55+F56-F57</f>
        <v>-8041.11858750686</v>
      </c>
      <c r="G58" s="35" t="n">
        <f aca="false">G53+G55+G56-G57</f>
        <v>-16010.622396257</v>
      </c>
    </row>
    <row r="59" customFormat="false" ht="15" hidden="false" customHeight="true" outlineLevel="0" collapsed="false">
      <c r="A59" s="13" t="s">
        <v>625</v>
      </c>
      <c r="C59" s="35" t="n">
        <f aca="false">C58*Inputs!$B$58</f>
        <v>4617.7799522293</v>
      </c>
      <c r="D59" s="35" t="n">
        <f aca="false">D58*Inputs!$B$58</f>
        <v>3156.15163319083</v>
      </c>
      <c r="E59" s="35" t="n">
        <f aca="false">E58*Inputs!$B$58</f>
        <v>-927.790805858483</v>
      </c>
      <c r="F59" s="35" t="n">
        <f aca="false">F58*Inputs!$B$58</f>
        <v>-5789.60538300494</v>
      </c>
      <c r="G59" s="35" t="n">
        <f aca="false">G58*Inputs!$B$58</f>
        <v>-11527.6481253051</v>
      </c>
    </row>
    <row r="60" customFormat="false" ht="15" hidden="false" customHeight="true" outlineLevel="0" collapsed="false">
      <c r="A60" s="13" t="s">
        <v>626</v>
      </c>
      <c r="C60" s="35" t="n">
        <f aca="false">Inputs!$B$60</f>
        <v>4200</v>
      </c>
      <c r="D60" s="35" t="n">
        <f aca="false">C62</f>
        <v>4200</v>
      </c>
      <c r="E60" s="35" t="n">
        <f aca="false">D62</f>
        <v>1043.84836680917</v>
      </c>
      <c r="F60" s="35" t="n">
        <f aca="false">E62</f>
        <v>1971.63917266765</v>
      </c>
      <c r="G60" s="35" t="n">
        <f aca="false">F62</f>
        <v>7761.24455567259</v>
      </c>
    </row>
    <row r="61" customFormat="false" ht="15" hidden="false" customHeight="true" outlineLevel="0" collapsed="false">
      <c r="A61" s="13" t="s">
        <v>627</v>
      </c>
      <c r="C61" s="35" t="n">
        <f aca="false">IF(AND(2026=2026,Inputs!$B$61=1),0,MIN(C60,MAX(0,C59)))</f>
        <v>0</v>
      </c>
      <c r="D61" s="35" t="n">
        <f aca="false">IF(AND(2027=2026,Inputs!$B$61=1),0,MIN(D60,MAX(0,D59)))</f>
        <v>3156.15163319083</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1043.84836680917</v>
      </c>
      <c r="E62" s="35" t="n">
        <f aca="false">E60-E61+MAX(0,-E59)</f>
        <v>1971.63917266765</v>
      </c>
      <c r="F62" s="35" t="n">
        <f aca="false">F60-F61+MAX(0,-F59)</f>
        <v>7761.24455567259</v>
      </c>
      <c r="G62" s="35" t="n">
        <f aca="false">G60-G61+MAX(0,-G59)</f>
        <v>19288.8926809776</v>
      </c>
    </row>
    <row r="63" customFormat="false" ht="15" hidden="false" customHeight="true" outlineLevel="0" collapsed="false">
      <c r="A63" s="13" t="s">
        <v>629</v>
      </c>
      <c r="C63" s="35" t="n">
        <f aca="false">MAX(0,C59-C61)*Inputs!$B$59</f>
        <v>277.066797133758</v>
      </c>
      <c r="D63" s="35" t="n">
        <f aca="false">MAX(0,D59-D61)*Inputs!$B$59</f>
        <v>0</v>
      </c>
      <c r="E63" s="35" t="n">
        <f aca="false">MAX(0,E59-E61)*Inputs!$B$59</f>
        <v>0</v>
      </c>
      <c r="F63" s="35" t="n">
        <f aca="false">MAX(0,F59-F61)*Inputs!$B$59</f>
        <v>0</v>
      </c>
      <c r="G63" s="35" t="n">
        <f aca="false">MAX(0,G59-G61)*Inputs!$B$59</f>
        <v>0</v>
      </c>
    </row>
    <row r="64" customFormat="false" ht="15" hidden="false" customHeight="true" outlineLevel="0" collapsed="false">
      <c r="A64" s="13" t="s">
        <v>630</v>
      </c>
      <c r="C64" s="35" t="n">
        <f aca="false">C58-C63</f>
        <v>6136.51646985139</v>
      </c>
      <c r="D64" s="35" t="n">
        <f aca="false">D58-D63</f>
        <v>4383.54393498727</v>
      </c>
      <c r="E64" s="35" t="n">
        <f aca="false">E58-E63</f>
        <v>-1288.59834147012</v>
      </c>
      <c r="F64" s="35" t="n">
        <f aca="false">F58-F63</f>
        <v>-8041.11858750686</v>
      </c>
      <c r="G64" s="35" t="n">
        <f aca="false">G58-G63</f>
        <v>-16010.622396257</v>
      </c>
    </row>
    <row r="65" customFormat="false" ht="15" hidden="false" customHeight="true" outlineLevel="0" collapsed="false">
      <c r="A65" s="13" t="s">
        <v>631</v>
      </c>
      <c r="C65" s="35" t="n">
        <f aca="false">Inputs!$B$56</f>
        <v>8200</v>
      </c>
      <c r="D65" s="35" t="n">
        <f aca="false">C67</f>
        <v>3290.78682411889</v>
      </c>
      <c r="E65" s="35" t="n">
        <f aca="false">D67</f>
        <v>0</v>
      </c>
      <c r="F65" s="35" t="n">
        <f aca="false">E67</f>
        <v>1288.59834147012</v>
      </c>
      <c r="G65" s="35" t="n">
        <f aca="false">F67</f>
        <v>9329.71692897697</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1288.59834147012</v>
      </c>
      <c r="F67" s="35" t="n">
        <f aca="false">F65-F66+MAX(0,-F64)</f>
        <v>9329.71692897697</v>
      </c>
      <c r="G67" s="35" t="n">
        <f aca="false">G65-G66+MAX(0,-G64)</f>
        <v>25340.339325234</v>
      </c>
    </row>
    <row r="68" customFormat="false" ht="15" hidden="false" customHeight="true" outlineLevel="0" collapsed="false">
      <c r="A68" s="13" t="s">
        <v>634</v>
      </c>
      <c r="C68" s="35" t="n">
        <f aca="false">MAX(0,C64-C66)*Inputs!$B$55</f>
        <v>257.733691733758</v>
      </c>
      <c r="D68" s="35" t="n">
        <f aca="false">MAX(0,D64-D66)*Inputs!$B$55</f>
        <v>229.478993282359</v>
      </c>
      <c r="E68" s="35" t="n">
        <f aca="false">MAX(0,E64-E66)*Inputs!$B$55</f>
        <v>0</v>
      </c>
      <c r="F68" s="35" t="n">
        <f aca="false">MAX(0,F64-F66)*Inputs!$B$55</f>
        <v>0</v>
      </c>
      <c r="G68" s="35" t="n">
        <f aca="false">MAX(0,G64-G66)*Inputs!$B$55</f>
        <v>0</v>
      </c>
    </row>
    <row r="69" customFormat="false" ht="15" hidden="false" customHeight="true" outlineLevel="0" collapsed="false">
      <c r="A69" s="10" t="s">
        <v>635</v>
      </c>
      <c r="C69" s="36" t="n">
        <f aca="false">IF(Inputs!$I$105=0,MAX(0,C53+C55)*Inputs!B$66,IF(Inputs!$I$105=2,MAX(0,C58)*Inputs!$I$106,C63+C68))</f>
        <v>534.800488867516</v>
      </c>
      <c r="D69" s="36" t="n">
        <f aca="false">IF(Inputs!$I$105=0,MAX(0,D53+D55)*Inputs!C$66,IF(Inputs!$I$105=2,MAX(0,D58)*Inputs!$I$106,D63+D68))</f>
        <v>229.478993282359</v>
      </c>
      <c r="E69" s="36" t="n">
        <f aca="false">IF(Inputs!$I$105=0,MAX(0,E53+E55)*Inputs!D$66,IF(Inputs!$I$105=2,MAX(0,E58)*Inputs!$I$106,E63+E68))</f>
        <v>0</v>
      </c>
      <c r="F69" s="36" t="n">
        <f aca="false">IF(Inputs!$I$105=0,MAX(0,F53+F55)*Inputs!E$66,IF(Inputs!$I$105=2,MAX(0,F58)*Inputs!$I$106,F63+F68))</f>
        <v>0</v>
      </c>
      <c r="G69" s="36" t="n">
        <f aca="false">IF(Inputs!$I$105=0,MAX(0,G53+G55)*Inputs!F$66,IF(Inputs!$I$105=2,MAX(0,G58)*Inputs!$I$106,G63+G68))</f>
        <v>0</v>
      </c>
    </row>
    <row r="70" customFormat="false" ht="15" hidden="false" customHeight="true" outlineLevel="0" collapsed="false">
      <c r="A70" s="13" t="s">
        <v>636</v>
      </c>
      <c r="C70" s="16" t="n">
        <f aca="false">IF(C58&gt;0,MIN(1,C69/C58),0)</f>
        <v>0.0833856</v>
      </c>
      <c r="D70" s="16" t="n">
        <f aca="false">IF(D58&gt;0,MIN(1,D69/D58),0)</f>
        <v>0.0523501068281241</v>
      </c>
      <c r="E70" s="16" t="n">
        <f aca="false">IF(E58&gt;0,MIN(1,E69/E58),0)</f>
        <v>0</v>
      </c>
      <c r="F70" s="16" t="n">
        <f aca="false">IF(F58&gt;0,MIN(1,F69/F58),0)</f>
        <v>0</v>
      </c>
      <c r="G70" s="16" t="n">
        <f aca="false">IF(G58&gt;0,MIN(1,G69/G58),0)</f>
        <v>0</v>
      </c>
    </row>
    <row r="71" customFormat="false" ht="15" hidden="false" customHeight="true" outlineLevel="0" collapsed="false">
      <c r="A71" s="13" t="s">
        <v>637</v>
      </c>
      <c r="C71" s="35" t="n">
        <f aca="false">C53+C55-C69</f>
        <v>5878.78277811763</v>
      </c>
      <c r="D71" s="35" t="n">
        <f aca="false">D53+D55-D69</f>
        <v>4154.06494170491</v>
      </c>
      <c r="E71" s="35" t="n">
        <f aca="false">E53+E55-E69</f>
        <v>-1288.59834147012</v>
      </c>
      <c r="F71" s="35" t="n">
        <f aca="false">F53+F55-F69</f>
        <v>-8041.11858750686</v>
      </c>
      <c r="G71" s="35" t="n">
        <f aca="false">G53+G55-G69</f>
        <v>-16010.622396257</v>
      </c>
    </row>
    <row r="72" customFormat="false" ht="15" hidden="false" customHeight="true" outlineLevel="0" collapsed="false">
      <c r="A72" s="13" t="s">
        <v>638</v>
      </c>
      <c r="C72" s="35" t="n">
        <f aca="false">C12+C20</f>
        <v>6666.19462137297</v>
      </c>
      <c r="D72" s="35" t="n">
        <f aca="false">D12+D20</f>
        <v>7322.67</v>
      </c>
      <c r="E72" s="35" t="n">
        <f aca="false">E12+E20</f>
        <v>8299.026</v>
      </c>
      <c r="F72" s="35" t="n">
        <f aca="false">F12+F20</f>
        <v>8532.43610625</v>
      </c>
      <c r="G72" s="35" t="n">
        <f aca="false">G12+G20</f>
        <v>8227.7062453125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8873.11894170491</v>
      </c>
      <c r="E75" s="36" t="n">
        <f aca="false">E53+E72+E52+E55-E69-E51+E73+E74</f>
        <v>3511.81865852988</v>
      </c>
      <c r="F75" s="36" t="n">
        <f aca="false">F53+F72+F52+F55-F69-F51+F73+F74</f>
        <v>-2696.07800625686</v>
      </c>
      <c r="G75" s="36" t="n">
        <f aca="false">G53+G72+G52+G55-G69-G51+G73+G74</f>
        <v>-10360.8519540695</v>
      </c>
    </row>
    <row r="76" customFormat="false" ht="15" hidden="false" customHeight="true" outlineLevel="0" collapsed="false">
      <c r="A76" s="10" t="s">
        <v>642</v>
      </c>
      <c r="C76" s="36" t="n">
        <f aca="false">C53+C52-(C69-C55*C70)-C51+C73+C74</f>
        <v>1333.91049871763</v>
      </c>
      <c r="D76" s="36" t="n">
        <f aca="false">D53+D52-(D69-D55*D70)-D51+D73+D74</f>
        <v>-1710.99992672419</v>
      </c>
      <c r="E76" s="36" t="n">
        <f aca="false">E53+E52-(E69-E55*E70)-E51+E73+E74</f>
        <v>-8450.65325</v>
      </c>
      <c r="F76" s="36" t="n">
        <f aca="false">F53+F52-(F69-F55*F70)-F51+F73+F74</f>
        <v>-14979.7554875</v>
      </c>
      <c r="G76" s="36" t="n">
        <f aca="false">G53+G52-(G69-G55*G70)-G51+G73+G74</f>
        <v>-22272.3976242187</v>
      </c>
    </row>
    <row r="77" customFormat="false" ht="15" hidden="false" customHeight="true" outlineLevel="0" collapsed="false">
      <c r="A77" s="13" t="s">
        <v>643</v>
      </c>
      <c r="C77" s="16" t="n">
        <f aca="false">IFERROR(C76/C49,0)</f>
        <v>0.0245918384041449</v>
      </c>
      <c r="D77" s="16" t="n">
        <f aca="false">IFERROR(D76/D49,0)</f>
        <v>-0.0210292138530313</v>
      </c>
      <c r="E77" s="16" t="n">
        <f aca="false">IFERROR(E76/E49,0)</f>
        <v>-0.0814616389923348</v>
      </c>
      <c r="F77" s="16" t="n">
        <f aca="false">IFERROR(F76/F49,0)</f>
        <v>-0.122893728246838</v>
      </c>
      <c r="G77" s="16" t="n">
        <f aca="false">IFERROR(G76/G49,0)</f>
        <v>-0.162419976796628</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146537.836341196</v>
      </c>
      <c r="F80" s="35" t="n">
        <f aca="false">E85</f>
        <v>150049.654999725</v>
      </c>
      <c r="G80" s="35" t="n">
        <f aca="false">F85</f>
        <v>147353.576993469</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8873.11894170491</v>
      </c>
      <c r="E82" s="35" t="n">
        <f aca="false">E75</f>
        <v>3511.81865852988</v>
      </c>
      <c r="F82" s="35" t="n">
        <f aca="false">F75</f>
        <v>-2696.07800625686</v>
      </c>
      <c r="G82" s="35" t="n">
        <f aca="false">G75</f>
        <v>-10360.8519540695</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146537.836341196</v>
      </c>
      <c r="E85" s="36" t="n">
        <f aca="false">E80+E82+E83+E84</f>
        <v>150049.654999725</v>
      </c>
      <c r="F85" s="36" t="n">
        <f aca="false">F80+F82+F83+F84</f>
        <v>147353.576993469</v>
      </c>
      <c r="G85" s="36" t="n">
        <f aca="false">G80+G82+G83+G84</f>
        <v>136992.725039399</v>
      </c>
    </row>
    <row r="86" customFormat="false" ht="15" hidden="false" customHeight="true" outlineLevel="0" collapsed="false">
      <c r="A86" s="13" t="s">
        <v>653</v>
      </c>
      <c r="C86" s="35" t="n">
        <f aca="false">MIN(C80-C81,C85)</f>
        <v>131845</v>
      </c>
      <c r="D86" s="35" t="n">
        <f aca="false">MIN(D80-D81,D85)</f>
        <v>137664.717399491</v>
      </c>
      <c r="E86" s="35" t="n">
        <f aca="false">MIN(E80-E81,E85)</f>
        <v>146537.836341196</v>
      </c>
      <c r="F86" s="35" t="n">
        <f aca="false">MIN(F80-F81,F85)</f>
        <v>147353.576993469</v>
      </c>
      <c r="G86" s="35" t="n">
        <f aca="false">MIN(G80-G81,G85)</f>
        <v>136992.725039399</v>
      </c>
    </row>
    <row r="87" customFormat="false" ht="15" hidden="false" customHeight="true" outlineLevel="0" collapsed="false">
      <c r="A87" s="13" t="s">
        <v>654</v>
      </c>
      <c r="C87" s="35" t="n">
        <f aca="false">C86-Inputs!$B$29</f>
        <v>126845</v>
      </c>
      <c r="D87" s="35" t="n">
        <f aca="false">D86-Inputs!$B$29</f>
        <v>132664.717399491</v>
      </c>
      <c r="E87" s="35" t="n">
        <f aca="false">E86-Inputs!$B$29</f>
        <v>141537.836341196</v>
      </c>
      <c r="F87" s="35" t="n">
        <f aca="false">F86-Inputs!$B$29</f>
        <v>142353.576993469</v>
      </c>
      <c r="G87" s="35" t="n">
        <f aca="false">G86-Inputs!$B$29</f>
        <v>131992.725039399</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146537.836341196</v>
      </c>
      <c r="E100" s="35" t="n">
        <f aca="false">E85+SUM($C97:E97)+SUM($C98:E98)-SUM($C99:E99)</f>
        <v>150049.654999725</v>
      </c>
      <c r="F100" s="35" t="n">
        <f aca="false">F85+SUM($C97:F97)+SUM($C98:F98)-SUM($C99:F99)</f>
        <v>147353.576993469</v>
      </c>
      <c r="G100" s="35" t="n">
        <f aca="false">G85+SUM($C97:G97)+SUM($C98:G98)-SUM($C99:G99)</f>
        <v>136992.725039399</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146537.836341196</v>
      </c>
      <c r="F101" s="35" t="n">
        <f aca="false">MIN(F80-F81+SUM($C97:E97)+SUM($C98:E98)-SUM($C99:E99)+F97,F100)</f>
        <v>147353.576993469</v>
      </c>
      <c r="G101" s="35" t="n">
        <f aca="false">MIN(G80-G81+SUM($C97:F97)+SUM($C98:F98)-SUM($C99:F99)+G97,G100)</f>
        <v>136992.725039399</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82827.534</v>
      </c>
      <c r="E105" s="35" t="n">
        <f aca="false">E5+E31</f>
        <v>108406.027125</v>
      </c>
      <c r="F105" s="35" t="n">
        <f aca="false">F5+F31</f>
        <v>132862.21936875</v>
      </c>
      <c r="G105" s="35" t="n">
        <f aca="false">G5+G31</f>
        <v>155640.776473828</v>
      </c>
    </row>
    <row r="106" customFormat="false" ht="15" hidden="false" customHeight="true" outlineLevel="0" collapsed="false">
      <c r="A106" s="13" t="s">
        <v>588</v>
      </c>
      <c r="C106" s="35" t="n">
        <f aca="false">C17+C35</f>
        <v>3230.55201698514</v>
      </c>
      <c r="D106" s="35" t="n">
        <f aca="false">D17+D35</f>
        <v>2178.6436</v>
      </c>
      <c r="E106" s="35" t="n">
        <f aca="false">E17+E35</f>
        <v>-1396.48115</v>
      </c>
      <c r="F106" s="35" t="n">
        <f aca="false">F17+F35</f>
        <v>-4497.04827124999</v>
      </c>
      <c r="G106" s="35" t="n">
        <f aca="false">G17+G35</f>
        <v>-8011.04013234373</v>
      </c>
    </row>
    <row r="107" customFormat="false" ht="15" hidden="false" customHeight="true" outlineLevel="0" collapsed="false">
      <c r="A107" s="13" t="s">
        <v>617</v>
      </c>
      <c r="C107" s="35" t="n">
        <f aca="false">C51+C37</f>
        <v>1627.26</v>
      </c>
      <c r="D107" s="35" t="n">
        <f aca="false">D51+D37</f>
        <v>3313.10136</v>
      </c>
      <c r="E107" s="35" t="n">
        <f aca="false">E51+E37</f>
        <v>5420.30135625</v>
      </c>
      <c r="F107" s="35" t="n">
        <f aca="false">F51+F37</f>
        <v>6643.1109684375</v>
      </c>
      <c r="G107" s="35" t="n">
        <f aca="false">G51+G37</f>
        <v>7782.03882369141</v>
      </c>
    </row>
    <row r="108" customFormat="false" ht="15" hidden="false" customHeight="true" outlineLevel="0" collapsed="false">
      <c r="A108" s="13" t="s">
        <v>618</v>
      </c>
      <c r="C108" s="33" t="n">
        <v>0</v>
      </c>
      <c r="D108" s="35" t="n">
        <f aca="false">SUMPRODUCT($D107:D107,--((4-COLUMN($D107:D107))&lt;Inputs!$B$32))/Inputs!$B$32</f>
        <v>662.620272</v>
      </c>
      <c r="E108" s="35" t="n">
        <f aca="false">SUMPRODUCT($D107:E107,--((5-COLUMN($D107:E107))&lt;Inputs!$B$32))/Inputs!$B$32</f>
        <v>1746.68054325</v>
      </c>
      <c r="F108" s="35" t="n">
        <f aca="false">SUMPRODUCT($D107:F107,--((6-COLUMN($D107:F107))&lt;Inputs!$B$32))/Inputs!$B$32</f>
        <v>3075.3027369375</v>
      </c>
      <c r="G108" s="35" t="n">
        <f aca="false">SUMPRODUCT($D107:G107,--((7-COLUMN($D107:G107))&lt;Inputs!$B$32))/Inputs!$B$32</f>
        <v>4631.71050167578</v>
      </c>
    </row>
    <row r="109" customFormat="false" ht="15" hidden="false" customHeight="true" outlineLevel="0" collapsed="false">
      <c r="A109" s="10" t="s">
        <v>619</v>
      </c>
      <c r="C109" s="36" t="n">
        <f aca="false">C106-C108</f>
        <v>3230.55201698514</v>
      </c>
      <c r="D109" s="36" t="n">
        <f aca="false">D106-D108</f>
        <v>1516.023328</v>
      </c>
      <c r="E109" s="36" t="n">
        <f aca="false">E106-E108</f>
        <v>-3143.16169325</v>
      </c>
      <c r="F109" s="36" t="n">
        <f aca="false">F106-F108</f>
        <v>-7572.35100818749</v>
      </c>
      <c r="G109" s="36" t="n">
        <f aca="false">G106-G108</f>
        <v>-12642.7506340195</v>
      </c>
    </row>
    <row r="110" customFormat="false" ht="15" hidden="false" customHeight="true" outlineLevel="0" collapsed="false">
      <c r="A110" s="13" t="s">
        <v>620</v>
      </c>
      <c r="C110" s="16" t="n">
        <f aca="false">IFERROR(C109/C105,0)</f>
        <v>0.0595581287007327</v>
      </c>
      <c r="D110" s="16" t="n">
        <f aca="false">IFERROR(D109/D105,0)</f>
        <v>0.0183033739480883</v>
      </c>
      <c r="E110" s="16" t="n">
        <f aca="false">IFERROR(E109/E105,0)</f>
        <v>-0.028994344471509</v>
      </c>
      <c r="F110" s="16" t="n">
        <f aca="false">IFERROR(F109/F105,0)</f>
        <v>-0.0569940126257484</v>
      </c>
      <c r="G110" s="16" t="n">
        <f aca="false">IFERROR(G109/G105,0)</f>
        <v>-0.0812303235723414</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3673.61270355789</v>
      </c>
      <c r="F111" s="35" t="n">
        <f aca="false">MAX(0,F136-F137)*Inputs!$B$20</f>
        <v>3799.72424068647</v>
      </c>
      <c r="G111" s="35" t="n">
        <f aca="false">MAX(0,G136-G137)*Inputs!$B$20</f>
        <v>3829.52426836769</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4957.64126298727</v>
      </c>
      <c r="E114" s="35" t="n">
        <f aca="false">E109+E111+E112-E113</f>
        <v>530.451010307885</v>
      </c>
      <c r="F114" s="35" t="n">
        <f aca="false">F109+F111+F112-F113</f>
        <v>-3772.62676750102</v>
      </c>
      <c r="G114" s="35" t="n">
        <f aca="false">G109+G111+G112-G113</f>
        <v>-8813.22636565182</v>
      </c>
    </row>
    <row r="115" customFormat="false" ht="15" hidden="false" customHeight="true" outlineLevel="0" collapsed="false">
      <c r="A115" s="13" t="s">
        <v>625</v>
      </c>
      <c r="C115" s="35" t="n">
        <f aca="false">C114*Inputs!$B$58</f>
        <v>4617.7799522293</v>
      </c>
      <c r="D115" s="35" t="n">
        <f aca="false">D114*Inputs!$B$58</f>
        <v>3569.50170935083</v>
      </c>
      <c r="E115" s="35" t="n">
        <f aca="false">E114*Inputs!$B$58</f>
        <v>381.924727421677</v>
      </c>
      <c r="F115" s="35" t="n">
        <f aca="false">F114*Inputs!$B$58</f>
        <v>-2716.29127260074</v>
      </c>
      <c r="G115" s="35" t="n">
        <f aca="false">G114*Inputs!$B$58</f>
        <v>-6345.52298326931</v>
      </c>
    </row>
    <row r="116" customFormat="false" ht="15" hidden="false" customHeight="true" outlineLevel="0" collapsed="false">
      <c r="A116" s="13" t="s">
        <v>626</v>
      </c>
      <c r="C116" s="35" t="n">
        <f aca="false">Inputs!$B$60</f>
        <v>4200</v>
      </c>
      <c r="D116" s="35" t="n">
        <f aca="false">C118</f>
        <v>4200</v>
      </c>
      <c r="E116" s="35" t="n">
        <f aca="false">D118</f>
        <v>630.498290649168</v>
      </c>
      <c r="F116" s="35" t="n">
        <f aca="false">E118</f>
        <v>248.573563227491</v>
      </c>
      <c r="G116" s="35" t="n">
        <f aca="false">F118</f>
        <v>2964.86483582823</v>
      </c>
    </row>
    <row r="117" customFormat="false" ht="15" hidden="false" customHeight="true" outlineLevel="0" collapsed="false">
      <c r="A117" s="13" t="s">
        <v>627</v>
      </c>
      <c r="C117" s="35" t="n">
        <f aca="false">IF(AND(2026=2026,Inputs!$B$61=1),0,MIN(C116,MAX(0,C115)))</f>
        <v>0</v>
      </c>
      <c r="D117" s="35" t="n">
        <f aca="false">IF(AND(2027=2026,Inputs!$B$61=1),0,MIN(D116,MAX(0,D115)))</f>
        <v>3569.50170935083</v>
      </c>
      <c r="E117" s="35" t="n">
        <f aca="false">IF(AND(2028=2026,Inputs!$B$61=1),0,MIN(E116,MAX(0,E115)))</f>
        <v>381.924727421677</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630.498290649168</v>
      </c>
      <c r="E118" s="35" t="n">
        <f aca="false">E116-E117+MAX(0,-E115)</f>
        <v>248.573563227491</v>
      </c>
      <c r="F118" s="35" t="n">
        <f aca="false">F116-F117+MAX(0,-F115)</f>
        <v>2964.86483582823</v>
      </c>
      <c r="G118" s="35" t="n">
        <f aca="false">G116-G117+MAX(0,-G115)</f>
        <v>9310.38781909754</v>
      </c>
    </row>
    <row r="119" customFormat="false" ht="15" hidden="false" customHeight="true" outlineLevel="0" collapsed="false">
      <c r="A119" s="13" t="s">
        <v>629</v>
      </c>
      <c r="C119" s="35" t="n">
        <f aca="false">MAX(0,C115-C117)*Inputs!$B$59</f>
        <v>277.066797133758</v>
      </c>
      <c r="D119" s="35" t="n">
        <f aca="false">MAX(0,D115-D117)*Inputs!$B$59</f>
        <v>0</v>
      </c>
      <c r="E119" s="35" t="n">
        <f aca="false">MAX(0,E115-E117)*Inputs!$B$59</f>
        <v>0</v>
      </c>
      <c r="F119" s="35" t="n">
        <f aca="false">MAX(0,F115-F117)*Inputs!$B$59</f>
        <v>0</v>
      </c>
      <c r="G119" s="35" t="n">
        <f aca="false">MAX(0,G115-G117)*Inputs!$B$59</f>
        <v>0</v>
      </c>
    </row>
    <row r="120" customFormat="false" ht="15" hidden="false" customHeight="true" outlineLevel="0" collapsed="false">
      <c r="A120" s="13" t="s">
        <v>630</v>
      </c>
      <c r="C120" s="35" t="n">
        <f aca="false">C114-C119</f>
        <v>6136.51646985139</v>
      </c>
      <c r="D120" s="35" t="n">
        <f aca="false">D114-D119</f>
        <v>4957.64126298727</v>
      </c>
      <c r="E120" s="35" t="n">
        <f aca="false">E114-E119</f>
        <v>530.451010307885</v>
      </c>
      <c r="F120" s="35" t="n">
        <f aca="false">F114-F119</f>
        <v>-3772.62676750102</v>
      </c>
      <c r="G120" s="35" t="n">
        <f aca="false">G114-G119</f>
        <v>-8813.22636565182</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3772.62676750102</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3772.62676750102</v>
      </c>
      <c r="G123" s="35" t="n">
        <f aca="false">G121-G122+MAX(0,-G120)</f>
        <v>12585.8531331528</v>
      </c>
    </row>
    <row r="124" customFormat="false" ht="15" hidden="false" customHeight="true" outlineLevel="0" collapsed="false">
      <c r="A124" s="13" t="s">
        <v>634</v>
      </c>
      <c r="C124" s="35" t="n">
        <f aca="false">MAX(0,C120-C122)*Inputs!$B$55</f>
        <v>257.733691733758</v>
      </c>
      <c r="D124" s="35" t="n">
        <f aca="false">MAX(0,D120-D122)*Inputs!$B$55</f>
        <v>350.039432162359</v>
      </c>
      <c r="E124" s="35" t="n">
        <f aca="false">MAX(0,E120-E122)*Inputs!$B$55</f>
        <v>111.394712164656</v>
      </c>
      <c r="F124" s="35" t="n">
        <f aca="false">MAX(0,F120-F122)*Inputs!$B$55</f>
        <v>0</v>
      </c>
      <c r="G124" s="35" t="n">
        <f aca="false">MAX(0,G120-G122)*Inputs!$B$55</f>
        <v>0</v>
      </c>
    </row>
    <row r="125" customFormat="false" ht="15" hidden="false" customHeight="true" outlineLevel="0" collapsed="false">
      <c r="A125" s="10" t="s">
        <v>635</v>
      </c>
      <c r="C125" s="36" t="n">
        <f aca="false">IF(Inputs!$I$105=0,MAX(0,C109+C111)*Inputs!B$66,IF(Inputs!$I$105=2,MAX(0,C114)*Inputs!$I$106,C119+C124))</f>
        <v>534.800488867516</v>
      </c>
      <c r="D125" s="36" t="n">
        <f aca="false">IF(Inputs!$I$105=0,MAX(0,D109+D111)*Inputs!C$66,IF(Inputs!$I$105=2,MAX(0,D114)*Inputs!$I$106,D119+D124))</f>
        <v>350.039432162359</v>
      </c>
      <c r="E125" s="36" t="n">
        <f aca="false">IF(Inputs!$I$105=0,MAX(0,E109+E111)*Inputs!D$66,IF(Inputs!$I$105=2,MAX(0,E114)*Inputs!$I$106,E119+E124))</f>
        <v>111.394712164656</v>
      </c>
      <c r="F125" s="36" t="n">
        <f aca="false">IF(Inputs!$I$105=0,MAX(0,F109+F111)*Inputs!E$66,IF(Inputs!$I$105=2,MAX(0,F114)*Inputs!$I$106,F119+F124))</f>
        <v>0</v>
      </c>
      <c r="G125" s="36" t="n">
        <f aca="false">IF(Inputs!$I$105=0,MAX(0,G109+G111)*Inputs!F$66,IF(Inputs!$I$105=2,MAX(0,G114)*Inputs!$I$106,G119+G124))</f>
        <v>0</v>
      </c>
    </row>
    <row r="126" customFormat="false" ht="15" hidden="false" customHeight="true" outlineLevel="0" collapsed="false">
      <c r="A126" s="13" t="s">
        <v>636</v>
      </c>
      <c r="C126" s="16" t="n">
        <f aca="false">IF(C114&gt;0,MIN(1,C125/C114),0)</f>
        <v>0.0833856</v>
      </c>
      <c r="D126" s="16" t="n">
        <f aca="false">IF(D114&gt;0,MIN(1,D125/D114),0)</f>
        <v>0.0706060429938087</v>
      </c>
      <c r="E126" s="16" t="n">
        <f aca="false">IF(E114&gt;0,MIN(1,E125/E114),0)</f>
        <v>0.21</v>
      </c>
      <c r="F126" s="16" t="n">
        <f aca="false">IF(F114&gt;0,MIN(1,F125/F114),0)</f>
        <v>0</v>
      </c>
      <c r="G126" s="16" t="n">
        <f aca="false">IF(G114&gt;0,MIN(1,G125/G114),0)</f>
        <v>0</v>
      </c>
    </row>
    <row r="127" customFormat="false" ht="15" hidden="false" customHeight="true" outlineLevel="0" collapsed="false">
      <c r="A127" s="13" t="s">
        <v>637</v>
      </c>
      <c r="C127" s="35" t="n">
        <f aca="false">C109+C111-C125</f>
        <v>5878.78277811763</v>
      </c>
      <c r="D127" s="35" t="n">
        <f aca="false">D109+D111-D125</f>
        <v>4607.60183082491</v>
      </c>
      <c r="E127" s="35" t="n">
        <f aca="false">E109+E111-E125</f>
        <v>419.056298143229</v>
      </c>
      <c r="F127" s="35" t="n">
        <f aca="false">F109+F111-F125</f>
        <v>-3772.62676750102</v>
      </c>
      <c r="G127" s="35" t="n">
        <f aca="false">G109+G111-G125</f>
        <v>-8813.22636565182</v>
      </c>
    </row>
    <row r="128" customFormat="false" ht="15" hidden="false" customHeight="true" outlineLevel="0" collapsed="false">
      <c r="A128" s="13" t="s">
        <v>638</v>
      </c>
      <c r="C128" s="35" t="n">
        <f aca="false">C12+C20</f>
        <v>6666.19462137297</v>
      </c>
      <c r="D128" s="35" t="n">
        <f aca="false">D12+D20</f>
        <v>7322.67</v>
      </c>
      <c r="E128" s="35" t="n">
        <f aca="false">E12+E20</f>
        <v>8299.026</v>
      </c>
      <c r="F128" s="35" t="n">
        <f aca="false">F12+F20</f>
        <v>8532.43610625</v>
      </c>
      <c r="G128" s="35" t="n">
        <f aca="false">G12+G20</f>
        <v>8227.7062453125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9279.79074282491</v>
      </c>
      <c r="E131" s="36" t="n">
        <f aca="false">E109+E128+E108+E111-E125-E107+E129+E130</f>
        <v>5044.46148514323</v>
      </c>
      <c r="F131" s="36" t="n">
        <f aca="false">F109+F128+F108+F111-F125-F107+F129+F130</f>
        <v>1192.00110724898</v>
      </c>
      <c r="G131" s="36" t="n">
        <f aca="false">G109+G128+G108+G111-G125-G107+G129+G130</f>
        <v>-3735.84844235494</v>
      </c>
    </row>
    <row r="132" customFormat="false" ht="15" hidden="false" customHeight="true" outlineLevel="0" collapsed="false">
      <c r="A132" s="10" t="s">
        <v>642</v>
      </c>
      <c r="C132" s="36" t="n">
        <f aca="false">C109+C108-(C125-C111*C126)-C107+C129+C130</f>
        <v>1333.91049871763</v>
      </c>
      <c r="D132" s="36" t="n">
        <f aca="false">D109+D108-(D125-D111*D126)-D107+D129+D130</f>
        <v>-1241.49816827638</v>
      </c>
      <c r="E132" s="36" t="n">
        <f aca="false">E109+E108-(E125-E111*E126)-E107+E129+E130</f>
        <v>-6156.7185506675</v>
      </c>
      <c r="F132" s="36" t="n">
        <f aca="false">F109+F108-(F125-F111*F126)-F107+F129+F130</f>
        <v>-11140.1592396875</v>
      </c>
      <c r="G132" s="36" t="n">
        <f aca="false">G109+G108-(G125-G111*G126)-G107+G129+G130</f>
        <v>-15793.0789560351</v>
      </c>
    </row>
    <row r="133" customFormat="false" ht="15" hidden="false" customHeight="true" outlineLevel="0" collapsed="false">
      <c r="A133" s="13" t="s">
        <v>643</v>
      </c>
      <c r="C133" s="16" t="n">
        <f aca="false">IFERROR(C132/C105,0)</f>
        <v>0.0245918384041449</v>
      </c>
      <c r="D133" s="16" t="n">
        <f aca="false">IFERROR(D132/D105,0)</f>
        <v>-0.0149889548598221</v>
      </c>
      <c r="E133" s="16" t="n">
        <f aca="false">IFERROR(E132/E105,0)</f>
        <v>-0.0567931388498202</v>
      </c>
      <c r="F133" s="16" t="n">
        <f aca="false">IFERROR(F132/F105,0)</f>
        <v>-0.0838474571071912</v>
      </c>
      <c r="G133" s="16" t="n">
        <f aca="false">IFERROR(G132/G105,0)</f>
        <v>-0.101471345195267</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146944.508142316</v>
      </c>
      <c r="F136" s="35" t="n">
        <f aca="false">E141</f>
        <v>151988.969627459</v>
      </c>
      <c r="G136" s="35" t="n">
        <f aca="false">F141</f>
        <v>153180.970734708</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9279.79074282491</v>
      </c>
      <c r="E138" s="35" t="n">
        <f aca="false">E131</f>
        <v>5044.46148514323</v>
      </c>
      <c r="F138" s="35" t="n">
        <f aca="false">F131</f>
        <v>1192.00110724898</v>
      </c>
      <c r="G138" s="35" t="n">
        <f aca="false">G131</f>
        <v>-3735.84844235494</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146944.508142316</v>
      </c>
      <c r="E141" s="36" t="n">
        <f aca="false">E136+E138+E139+E140</f>
        <v>151988.969627459</v>
      </c>
      <c r="F141" s="36" t="n">
        <f aca="false">F136+F138+F139+F140</f>
        <v>153180.970734708</v>
      </c>
      <c r="G141" s="36" t="n">
        <f aca="false">G136+G138+G139+G140</f>
        <v>149445.122292353</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146944.508142316</v>
      </c>
      <c r="F142" s="35" t="n">
        <f aca="false">MIN(F136-F137,F141)</f>
        <v>151988.969627459</v>
      </c>
      <c r="G142" s="35" t="n">
        <f aca="false">MIN(G136-G137,G141)</f>
        <v>149445.122292353</v>
      </c>
    </row>
    <row r="143" customFormat="false" ht="15" hidden="false" customHeight="true" outlineLevel="0" collapsed="false">
      <c r="A143" s="13" t="s">
        <v>654</v>
      </c>
      <c r="C143" s="35" t="n">
        <f aca="false">C142-Inputs!$B$29</f>
        <v>126845</v>
      </c>
      <c r="D143" s="35" t="n">
        <f aca="false">D142-Inputs!$B$29</f>
        <v>132664.717399491</v>
      </c>
      <c r="E143" s="35" t="n">
        <f aca="false">E142-Inputs!$B$29</f>
        <v>141944.508142316</v>
      </c>
      <c r="F143" s="35" t="n">
        <f aca="false">F142-Inputs!$B$29</f>
        <v>146988.969627459</v>
      </c>
      <c r="G143" s="35" t="n">
        <f aca="false">G142-Inputs!$B$29</f>
        <v>144445.122292353</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146944.508142316</v>
      </c>
      <c r="E156" s="35" t="n">
        <f aca="false">E141+SUM($C153:E153)+SUM($C154:E154)-SUM($C155:E155)</f>
        <v>151988.969627459</v>
      </c>
      <c r="F156" s="35" t="n">
        <f aca="false">F141+SUM($C153:F153)+SUM($C154:F154)-SUM($C155:F155)</f>
        <v>153180.970734708</v>
      </c>
      <c r="G156" s="35" t="n">
        <f aca="false">G141+SUM($C153:G153)+SUM($C154:G154)-SUM($C155:G155)</f>
        <v>149445.122292353</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146944.508142316</v>
      </c>
      <c r="F157" s="35" t="n">
        <f aca="false">MIN(F136-F137+SUM($C153:E153)+SUM($C154:E154)-SUM($C155:E155)+F153,F156)</f>
        <v>151988.969627459</v>
      </c>
      <c r="G157" s="35" t="n">
        <f aca="false">MIN(G136-G137+SUM($C153:F153)+SUM($C154:F154)-SUM($C155:F155)+G153,G156)</f>
        <v>149445.122292353</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Inputs!$B$19+Inputs!$I$104</f>
        <v>0.12</v>
      </c>
      <c r="G162" s="16" t="n">
        <f aca="false">Inputs!$B$19+Inputs!$I$104</f>
        <v>0.12</v>
      </c>
    </row>
    <row r="163" customFormat="false" ht="15" hidden="false" customHeight="true" outlineLevel="0" collapsed="false">
      <c r="A163" s="13" t="s">
        <v>673</v>
      </c>
      <c r="F163" s="35" t="n">
        <f aca="false">G53*(1-G70)</f>
        <v>-19694.4618210937</v>
      </c>
      <c r="G163" s="35" t="n">
        <f aca="false">G109*(1-G126)</f>
        <v>-12642.7506340195</v>
      </c>
    </row>
    <row r="164" customFormat="false" ht="15" hidden="false" customHeight="true" outlineLevel="0" collapsed="false">
      <c r="A164" s="13" t="s">
        <v>674</v>
      </c>
      <c r="F164" s="54" t="n">
        <f aca="false">Inputs!$I$102</f>
        <v>30</v>
      </c>
      <c r="G164" s="54" t="n">
        <f aca="false">Inputs!$I$102</f>
        <v>30</v>
      </c>
    </row>
    <row r="165" customFormat="false" ht="15" hidden="false" customHeight="true" outlineLevel="0" collapsed="false">
      <c r="A165" s="13" t="s">
        <v>675</v>
      </c>
      <c r="F165" s="35" t="n">
        <f aca="false">F163*F164</f>
        <v>-590833.854632812</v>
      </c>
      <c r="G165" s="35" t="n">
        <f aca="false">G163*G164</f>
        <v>-379282.519020585</v>
      </c>
    </row>
    <row r="166" customFormat="false" ht="15" hidden="false" customHeight="true" outlineLevel="0" collapsed="false">
      <c r="A166" s="13" t="s">
        <v>676</v>
      </c>
      <c r="F166" s="35" t="n">
        <f aca="false">F165*$G$21</f>
        <v>-375485.595952764</v>
      </c>
      <c r="G166" s="35" t="n">
        <f aca="false">G165*$G$21</f>
        <v>-241040.897660506</v>
      </c>
    </row>
    <row r="167" customFormat="false" ht="15" hidden="false" customHeight="true" outlineLevel="0" collapsed="false">
      <c r="A167" s="13" t="s">
        <v>677</v>
      </c>
      <c r="F167" s="35" t="n">
        <f aca="false">SUMPRODUCT(D76:G76,$D$21:$G$21)-F162*SUMPRODUCT(D81:G81,$D$21:$G$21)</f>
        <v>-33081.2929508992</v>
      </c>
      <c r="G167" s="35" t="n">
        <f aca="false">SUMPRODUCT(D132:G132,$D$21:$G$21)-G162*SUMPRODUCT(D137:G137,$D$21:$G$21)</f>
        <v>-23982.7113363274</v>
      </c>
    </row>
    <row r="168" customFormat="false" ht="15" hidden="false" customHeight="true" outlineLevel="0" collapsed="false">
      <c r="A168" s="13" t="s">
        <v>678</v>
      </c>
      <c r="F168" s="35" t="n">
        <f aca="false">F166+F167</f>
        <v>-408566.888903663</v>
      </c>
      <c r="G168" s="35" t="n">
        <f aca="false">G166+G167</f>
        <v>-265023.608996834</v>
      </c>
    </row>
    <row r="169" customFormat="false" ht="15" hidden="false" customHeight="true" outlineLevel="0" collapsed="false">
      <c r="A169" s="13" t="s">
        <v>679</v>
      </c>
      <c r="F169" s="35" t="n">
        <f aca="false">(G76-G74)*Inputs!$I$103*$G$21</f>
        <v>-396326.317509131</v>
      </c>
      <c r="G169" s="35" t="n">
        <f aca="false">(G132-G130)*Inputs!$I$103*$G$21</f>
        <v>-281030.041326586</v>
      </c>
    </row>
    <row r="170" customFormat="false" ht="15" hidden="false" customHeight="true" outlineLevel="0" collapsed="false">
      <c r="A170" s="13" t="s">
        <v>680</v>
      </c>
      <c r="F170" s="35" t="n">
        <f aca="false">F167+F169</f>
        <v>-429407.61046003</v>
      </c>
      <c r="G170" s="35" t="n">
        <f aca="false">G167+G169</f>
        <v>-305012.752662914</v>
      </c>
    </row>
    <row r="171" customFormat="false" ht="15" hidden="false" customHeight="true" outlineLevel="0" collapsed="false">
      <c r="A171" s="13" t="s">
        <v>681</v>
      </c>
      <c r="F171" s="35" t="n">
        <f aca="false">F168*Inputs!$B$21+F170*(1-Inputs!$B$21)</f>
        <v>-418987.249681847</v>
      </c>
      <c r="G171" s="35" t="n">
        <f aca="false">G168*Inputs!$B$21+G170*(1-Inputs!$B$21)</f>
        <v>-285018.180829874</v>
      </c>
    </row>
    <row r="172" customFormat="false" ht="15" hidden="false" customHeight="true" outlineLevel="0" collapsed="false">
      <c r="A172" s="13" t="s">
        <v>682</v>
      </c>
      <c r="F172" s="16" t="n">
        <f aca="false">IFERROR(F166/F168,0)</f>
        <v>0.919030900816097</v>
      </c>
      <c r="G172" s="16" t="n">
        <f aca="false">IFERROR(G166/G168,0)</f>
        <v>0.909507264552367</v>
      </c>
    </row>
    <row r="173" customFormat="false" ht="15" hidden="false" customHeight="true" outlineLevel="0" collapsed="false">
      <c r="A173" s="13" t="s">
        <v>683</v>
      </c>
      <c r="F173" s="16" t="n">
        <f aca="false">IFERROR(F169/F170,0)</f>
        <v>0.922960627280316</v>
      </c>
      <c r="G173" s="16" t="n">
        <f aca="false">IFERROR(G169/G170,0)</f>
        <v>0.921371447170827</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-281322.532282356</v>
      </c>
      <c r="G176" s="34" t="n">
        <f aca="false">G171+G174+G175</f>
        <v>-147353.463430383</v>
      </c>
    </row>
    <row r="177" customFormat="false" ht="15" hidden="false" customHeight="true" outlineLevel="0" collapsed="false">
      <c r="A177" s="13" t="s">
        <v>687</v>
      </c>
      <c r="F177" s="35" t="str">
        <f aca="false">IF(F182="OK",F176,"unresolved")</f>
        <v>unresolved</v>
      </c>
      <c r="G177" s="35" t="str">
        <f aca="false">IF(G182="OK",G176,"unresolved")</f>
        <v>unresolved</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str">
        <f aca="false">IF(F182="OK",F176/F178,"n/a")</f>
        <v>n/a</v>
      </c>
      <c r="G179" s="25" t="str">
        <f aca="false">IF(G182="OK",G176/G178,"n/a")</f>
        <v>n/a</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n">
        <f aca="false">IF(G75&lt;0,MAX(0,G85)/-G75,"cash-positive")</f>
        <v>13.2221486849439</v>
      </c>
      <c r="G181" s="58" t="n">
        <f aca="false">IF(G131&lt;0,MAX(0,G141)/-G131,"cash-positive")</f>
        <v>40.0029938575742</v>
      </c>
    </row>
    <row r="182" customFormat="false" ht="15" hidden="false" customHeight="true" outlineLevel="0" collapsed="false">
      <c r="A182" s="13" t="s">
        <v>691</v>
      </c>
      <c r="F182" s="56" t="str">
        <f aca="false">IF(OR(F163&lt;=0,G76-G74&lt;=0),"Not meaningful: 2030 earnings or cash flow negative",IF(F176&lt;=0,"Not meaningful: equity value at or below zero","OK"))</f>
        <v>Not meaningful: 2030 earnings or cash flow negative</v>
      </c>
      <c r="G182" s="56" t="str">
        <f aca="false">IF(OR(G163&lt;=0,G132-G130&lt;=0),"Not meaningful: 2030 earnings or cash flow negative",IF(G176&lt;=0,"Not meaningful: equity value at or below zero","OK"))</f>
        <v>Not meaningful: 2030 earnings or cash flow negative</v>
      </c>
    </row>
    <row r="183" customFormat="false" ht="15" hidden="false" customHeight="true" outlineLevel="0" collapsed="false">
      <c r="A183" s="10" t="s">
        <v>692</v>
      </c>
      <c r="F183" s="29" t="str">
        <f aca="false">IF(F182&lt;&gt;"OK",F182,IF(F180&gt;0,"Raise needed by 2030",IF(ISNUMBER(F181),"Cash-negative in 2030; runway "&amp;TEXT(F181,"0.0")&amp;" yrs","No raise needed")))</f>
        <v>Not meaningful: 2030 earnings or cash flow negative</v>
      </c>
      <c r="G183" s="29" t="str">
        <f aca="false">IF(G182&lt;&gt;"OK",G182,IF(G180&gt;0,"Raise needed by 2030",IF(ISNUMBER(G181),"Cash-negative in 2030; runway "&amp;TEXT(G181,"0.0")&amp;" yrs","No raise needed")))</f>
        <v>Not meaningful: 2030 earnings or cash flow negative</v>
      </c>
    </row>
    <row r="184" customFormat="false" ht="15" hidden="false" customHeight="true" outlineLevel="0" collapsed="false">
      <c r="A184" s="13" t="s">
        <v>693</v>
      </c>
      <c r="F184" s="25" t="str">
        <f aca="false">IF(NOT(ISNUMBER(F179)),"unresolved",IF(F180=0,F179,(F176+F180/(1+F162)^IF(ISNUMBER(G93),MAX(0,G93-2027),0))/(F178+(F180/(1-Inputs!$B$31))/(F179*(1+F162)^IF(ISNUMBER(G93),MAX(0,G93-2027),0)*(1-0)))))</f>
        <v>unresolved</v>
      </c>
      <c r="G184" s="25" t="str">
        <f aca="false">IF(NOT(ISNUMBER(G179)),"unresolved",IF(G180=0,G179,(G176+G180/(1+G162)^IF(ISNUMBER(G149),MAX(0,G149-2027),0))/(G178+(G180/(1-Inputs!$B$31))/(G179*(1+G162)^IF(ISNUMBER(G149),MAX(0,G149-2027),0)*(1-0)))))</f>
        <v>unresolved</v>
      </c>
    </row>
    <row r="185" customFormat="false" ht="15" hidden="false" customHeight="true" outlineLevel="0" collapsed="false">
      <c r="A185" s="13" t="s">
        <v>694</v>
      </c>
      <c r="F185" s="25" t="str">
        <f aca="false">IF(NOT(ISNUMBER(F179)),"unresolved",IF(F180=0,F179,(F176+F180/(1+F162)^IF(ISNUMBER(G93),MAX(0,G93-2027),0))/(F178+(F180/(1-Inputs!$B$31))/(F179*(1+F162)^IF(ISNUMBER(G93),MAX(0,G93-2027),0)*(1-Inputs!$B$30)))))</f>
        <v>unresolved</v>
      </c>
      <c r="G185" s="25" t="str">
        <f aca="false">IF(NOT(ISNUMBER(G179)),"unresolved",IF(G180=0,G179,(G176+G180/(1+G162)^IF(ISNUMBER(G149),MAX(0,G149-2027),0))/(G178+(G180/(1-Inputs!$B$31))/(G179*(1+G162)^IF(ISNUMBER(G149),MAX(0,G149-2027),0)*(1-Inputs!$B$30)))))</f>
        <v>unresolved</v>
      </c>
    </row>
    <row r="186" customFormat="false" ht="15" hidden="false" customHeight="true" outlineLevel="0" collapsed="false">
      <c r="A186" s="13" t="s">
        <v>695</v>
      </c>
      <c r="F186" s="25" t="str">
        <f aca="false">IF(NOT(ISNUMBER(F179)),"unresolved",IF(F180=0,F179,(F176+F180/(1+F162)^IF(ISNUMBER(G93),MAX(0,G93-2027),0))/(F178+(F180/(1-Inputs!$B$31))/(F179*(1+F162)^IF(ISNUMBER(G93),MAX(0,G93-2027),0)*(1-0.3)))))</f>
        <v>unresolved</v>
      </c>
      <c r="G186" s="25" t="str">
        <f aca="false">IF(NOT(ISNUMBER(G179)),"unresolved",IF(G180=0,G179,(G176+G180/(1+G162)^IF(ISNUMBER(G149),MAX(0,G149-2027),0))/(G178+(G180/(1-Inputs!$B$31))/(G179*(1+G162)^IF(ISNUMBER(G149),MAX(0,G149-2027),0)*(1-0.3)))))</f>
        <v>unresolved</v>
      </c>
    </row>
    <row r="187" customFormat="false" ht="15" hidden="false" customHeight="true" outlineLevel="0" collapsed="false">
      <c r="A187" s="13" t="s">
        <v>696</v>
      </c>
      <c r="F187" s="25" t="str">
        <f aca="false">F185</f>
        <v>unresolved</v>
      </c>
      <c r="G187" s="25" t="str">
        <f aca="false">G185</f>
        <v>unresolved</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str">
        <f aca="false">IF(ISNUMBER(F187),F187/(1+Inputs!$B$25)^F188,"unresolved")</f>
        <v>unresolved</v>
      </c>
      <c r="G189" s="12" t="str">
        <f aca="false">IF(ISNUMBER(G187),G187/(1+Inputs!$B$25)^G188,"unresolved")</f>
        <v>unresolved</v>
      </c>
    </row>
    <row r="190" customFormat="false" ht="15" hidden="false" customHeight="true" outlineLevel="0" collapsed="false">
      <c r="A190" s="13" t="s">
        <v>699</v>
      </c>
      <c r="F190" s="25" t="str">
        <f aca="false">IF(F180=0,F189,"unresolved")</f>
        <v>unresolved</v>
      </c>
      <c r="G190" s="25" t="str">
        <f aca="false">IF(G180=0,G189,"unresolved")</f>
        <v>unresolved</v>
      </c>
    </row>
    <row r="191" customFormat="false" ht="15" hidden="false" customHeight="true" outlineLevel="0" collapsed="false">
      <c r="A191" s="13" t="s">
        <v>700</v>
      </c>
      <c r="F191" s="35" t="str">
        <f aca="false">IF(ISNUMBER(F179),F176+F180/(1+F162)^IF(ISNUMBER(G93),MAX(0,G93-2027),0),"unresolved")</f>
        <v>unresolved</v>
      </c>
      <c r="G191" s="35" t="str">
        <f aca="false">IF(ISNUMBER(G179),G176+G180/(1+G162)^IF(ISNUMBER(G149),MAX(0,G149-2027),0),"unresolved")</f>
        <v>unresolved</v>
      </c>
    </row>
    <row r="192" customFormat="false" ht="15" hidden="false" customHeight="true" outlineLevel="0" collapsed="false">
      <c r="A192" s="13" t="s">
        <v>701</v>
      </c>
      <c r="F192" s="28" t="str">
        <f aca="false">IFERROR(F191/D49,"n/a")</f>
        <v>n/a</v>
      </c>
      <c r="G192" s="28" t="str">
        <f aca="false">IFERROR(G191/D105,"n/a")</f>
        <v>n/a</v>
      </c>
    </row>
    <row r="193" customFormat="false" ht="15" hidden="false" customHeight="true" outlineLevel="0" collapsed="false">
      <c r="A193" s="13" t="s">
        <v>702</v>
      </c>
      <c r="F193" s="25" t="n">
        <f aca="false">(F168+F174)/F178</f>
        <v>-15.1029304182348</v>
      </c>
      <c r="G193" s="25" t="n">
        <f aca="false">(G168+G174)/G178</f>
        <v>-7.10032137157882</v>
      </c>
    </row>
    <row r="194" customFormat="false" ht="15" hidden="false" customHeight="true" outlineLevel="0" collapsed="false">
      <c r="A194" s="13" t="s">
        <v>703</v>
      </c>
      <c r="F194" s="25" t="n">
        <f aca="false">(F170+F174)/F178</f>
        <v>-16.2648109811847</v>
      </c>
      <c r="G194" s="25" t="n">
        <f aca="false">(G170+G174)/G178</f>
        <v>-9.32973596401335</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713</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Historicals!F35+(Inputs!$B$5+Inputs!$J$75)</f>
        <v>54242</v>
      </c>
      <c r="D5" s="35" t="n">
        <f aca="false">C5*(1+Inputs!$J$77)</f>
        <v>108484</v>
      </c>
      <c r="E5" s="35" t="n">
        <f aca="false">D5*(1+Inputs!$J$78)</f>
        <v>168150.2</v>
      </c>
      <c r="F5" s="35" t="n">
        <f aca="false">E5*(1+Inputs!$J$79)</f>
        <v>227002.77</v>
      </c>
      <c r="G5" s="35" t="n">
        <f aca="false">F5*(1+Inputs!$J$80)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Historicals!F51+(Inputs!$B$5+Inputs!$J$75)*Historicals!F51/Historicals!F35</f>
        <v>10731.163207663</v>
      </c>
      <c r="D7" s="35" t="n">
        <f aca="false">D5*Inputs!$J$76</f>
        <v>21696.8</v>
      </c>
      <c r="E7" s="35" t="n">
        <f aca="false">E5*Inputs!$J$76</f>
        <v>33630.04</v>
      </c>
      <c r="F7" s="35" t="n">
        <f aca="false">F5*Inputs!$J$76</f>
        <v>45400.554</v>
      </c>
      <c r="G7" s="35" t="n">
        <f aca="false">G5*Inputs!$J$76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Historicals!F36+Historicals!H6+Inputs!$J$75*Inputs!$J$81</f>
        <v>28258</v>
      </c>
      <c r="D9" s="35" t="n">
        <f aca="false">(C9-Inputs!$J$113)*(1+Inputs!$J$82)</f>
        <v>48038.6</v>
      </c>
      <c r="E9" s="35" t="n">
        <f aca="false">D9*(1+Inputs!$J$83)</f>
        <v>69655.97</v>
      </c>
      <c r="F9" s="35" t="n">
        <f aca="false">E9*(1+Inputs!$J$84)</f>
        <v>90552.761</v>
      </c>
      <c r="G9" s="35" t="n">
        <f aca="false">F9*(1+Inputs!$J$85)</f>
        <v>108663.3132</v>
      </c>
    </row>
    <row r="10" customFormat="false" ht="15" hidden="false" customHeight="true" outlineLevel="0" collapsed="false">
      <c r="A10" s="13" t="s">
        <v>219</v>
      </c>
      <c r="B10" s="41" t="n">
        <f aca="false">Historicals!D36</f>
        <v>7326</v>
      </c>
      <c r="C10" s="35" t="n">
        <f aca="false">Historicals!F36+Historicals!H6+MAX(Inputs!$J$75*Inputs!$J$81,Inputs!$J$108*C22)</f>
        <v>28258</v>
      </c>
      <c r="D10" s="35" t="n">
        <f aca="false">MAX(D9,Inputs!$J$108*D22)</f>
        <v>48038.6</v>
      </c>
      <c r="E10" s="35" t="n">
        <f aca="false">MAX(E9,Inputs!$J$108*E22)</f>
        <v>69655.97</v>
      </c>
      <c r="F10" s="35" t="n">
        <f aca="false">MAX(F9,Inputs!$J$108*F22)</f>
        <v>90552.761</v>
      </c>
      <c r="G10" s="35" t="n">
        <f aca="false">MAX(G9,Inputs!$J$108*G22)</f>
        <v>108663.3132</v>
      </c>
    </row>
    <row r="11" customFormat="false" ht="15" hidden="false" customHeight="true" outlineLevel="0" collapsed="false">
      <c r="A11" s="13" t="s">
        <v>220</v>
      </c>
      <c r="B11" s="41" t="n">
        <f aca="false">Historicals!D37</f>
        <v>1839</v>
      </c>
      <c r="C11" s="35" t="n">
        <f aca="false">Historicals!F37+Historicals!H7+Inputs!$J$75*Historicals!H24</f>
        <v>6982.0728945506</v>
      </c>
      <c r="D11" s="35" t="n">
        <f aca="false">D5*Inputs!$J$86</f>
        <v>15187.76</v>
      </c>
      <c r="E11" s="35" t="n">
        <f aca="false">E5*Inputs!$J$87</f>
        <v>21859.526</v>
      </c>
      <c r="F11" s="35" t="n">
        <f aca="false">F5*Inputs!$J$88</f>
        <v>27240.3324</v>
      </c>
      <c r="G11" s="35" t="n">
        <f aca="false">G5*Inputs!$J$89</f>
        <v>31212.880875</v>
      </c>
    </row>
    <row r="12" customFormat="false" ht="15" hidden="false" customHeight="true" outlineLevel="0" collapsed="false">
      <c r="A12" s="13" t="s">
        <v>584</v>
      </c>
      <c r="B12" s="41" t="n">
        <f aca="false">Historicals!D49</f>
        <v>1158</v>
      </c>
      <c r="C12" s="35" t="n">
        <f aca="false">Historicals!F49+Historicals!H19+Inputs!$J$75*Historicals!H29</f>
        <v>4580.19462137297</v>
      </c>
      <c r="D12" s="35" t="n">
        <f aca="false">D5*Inputs!$J$90</f>
        <v>9763.56</v>
      </c>
      <c r="E12" s="35" t="n">
        <f aca="false">E5*Inputs!$J$91</f>
        <v>13452.016</v>
      </c>
      <c r="F12" s="35" t="n">
        <f aca="false">F5*Inputs!$J$92</f>
        <v>15890.1939</v>
      </c>
      <c r="G12" s="35" t="n">
        <f aca="false">G5*Inputs!$J$93</f>
        <v>17025.20775</v>
      </c>
    </row>
    <row r="13" customFormat="false" ht="15" hidden="false" customHeight="true" outlineLevel="0" collapsed="false">
      <c r="A13" s="13" t="s">
        <v>585</v>
      </c>
      <c r="B13" s="41" t="n">
        <f aca="false">Historicals!D39</f>
        <v>568</v>
      </c>
      <c r="C13" s="35" t="n">
        <f aca="false">Historicals!F39+Historicals!H9+Inputs!$J$75*Historicals!H25</f>
        <v>8453.09766454352</v>
      </c>
      <c r="D13" s="35" t="n">
        <f aca="false">D5*Inputs!$J$94</f>
        <v>18442.28</v>
      </c>
      <c r="E13" s="35" t="n">
        <f aca="false">E5*Inputs!$J$95</f>
        <v>26904.032</v>
      </c>
      <c r="F13" s="35" t="n">
        <f aca="false">F5*Inputs!$J$96</f>
        <v>34050.4155</v>
      </c>
      <c r="G13" s="35" t="n">
        <f aca="false">G5*Inputs!$J$97</f>
        <v>42563.019375</v>
      </c>
    </row>
    <row r="14" customFormat="false" ht="15" hidden="false" customHeight="true" outlineLevel="0" collapsed="false">
      <c r="A14" s="13" t="s">
        <v>586</v>
      </c>
      <c r="B14" s="41" t="n">
        <f aca="false">Historicals!D40</f>
        <v>1412</v>
      </c>
      <c r="C14" s="35" t="n">
        <f aca="false">Historicals!F40+Historicals!H10-Inputs!$B$37+Inputs!$J$75*(Historicals!H10-Inputs!$B$37)/Historicals!H5</f>
        <v>5358.27742392074</v>
      </c>
      <c r="D14" s="35" t="n">
        <f aca="false">D5*Inputs!$J$98</f>
        <v>8678.72</v>
      </c>
      <c r="E14" s="35" t="n">
        <f aca="false">E5*Inputs!$J$99</f>
        <v>11770.514</v>
      </c>
      <c r="F14" s="35" t="n">
        <f aca="false">F5*Inputs!$J$100</f>
        <v>13620.1662</v>
      </c>
      <c r="G14" s="35" t="n">
        <f aca="false">G5*Inputs!$J$101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1/(1+Inputs!$B$19+Inputs!$J$104)^1</f>
        <v>0.892857142857143</v>
      </c>
      <c r="E21" s="53" t="n">
        <f aca="false">1/(1+Inputs!$B$19+Inputs!$J$104)^2</f>
        <v>0.79719387755102</v>
      </c>
      <c r="F21" s="53" t="n">
        <f aca="false">1/(1+Inputs!$B$19+Inputs!$J$104)^3</f>
        <v>0.711780247813411</v>
      </c>
      <c r="G21" s="53" t="n">
        <f aca="false">1/(1+Inputs!$B$19+Inputs!$J$104)^4</f>
        <v>0.635518078404831</v>
      </c>
    </row>
    <row r="22" customFormat="false" ht="15" hidden="false" customHeight="true" outlineLevel="0" collapsed="false">
      <c r="A22" s="13" t="s">
        <v>593</v>
      </c>
      <c r="C22" s="35" t="n">
        <f aca="false">Inputs!B$69+Inputs!$B$47*Inputs!$B$46</f>
        <v>11231</v>
      </c>
      <c r="D22" s="35" t="n">
        <f aca="false">Inputs!C$69+Inputs!$B$47*(1-Inputs!$B$46)+Inputs!$B$70*Inputs!$J$109</f>
        <v>97550</v>
      </c>
      <c r="E22" s="35" t="n">
        <f aca="false">Inputs!D$69+Inputs!$B$70*Inputs!$J$110</f>
        <v>107338.25</v>
      </c>
      <c r="F22" s="35" t="n">
        <f aca="false">Inputs!E$69+Inputs!$B$70*Inputs!$J$111</f>
        <v>117031.375</v>
      </c>
      <c r="G22" s="35" t="n">
        <f aca="false">Inputs!F$69+Inputs!$B$70*Inputs!$J$112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Inputs!$J$107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4012.53338675016</v>
      </c>
      <c r="F55" s="35" t="n">
        <f aca="false">MAX(0,F80-F81)*Inputs!$B$20</f>
        <v>4947.3549307441</v>
      </c>
      <c r="G55" s="35" t="n">
        <f aca="false">MAX(0,G80-G81)*Inputs!$B$20</f>
        <v>6346.65123336114</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20710.3859349873</v>
      </c>
      <c r="E58" s="35" t="n">
        <f aca="false">E53+E55+E56-E57</f>
        <v>39423.3173867502</v>
      </c>
      <c r="F58" s="35" t="n">
        <f aca="false">F53+F55+F56-F57</f>
        <v>61667.0481307441</v>
      </c>
      <c r="G58" s="35" t="n">
        <f aca="false">G53+G55+G56-G57</f>
        <v>82978.7562083612</v>
      </c>
    </row>
    <row r="59" customFormat="false" ht="15" hidden="false" customHeight="true" outlineLevel="0" collapsed="false">
      <c r="A59" s="13" t="s">
        <v>625</v>
      </c>
      <c r="C59" s="35" t="n">
        <f aca="false">C58*Inputs!$B$58</f>
        <v>4617.7799522293</v>
      </c>
      <c r="D59" s="35" t="n">
        <f aca="false">D58*Inputs!$B$58</f>
        <v>14911.4778731908</v>
      </c>
      <c r="E59" s="35" t="n">
        <f aca="false">E58*Inputs!$B$58</f>
        <v>28384.7885184601</v>
      </c>
      <c r="F59" s="35" t="n">
        <f aca="false">F58*Inputs!$B$58</f>
        <v>44400.2746541358</v>
      </c>
      <c r="G59" s="35" t="n">
        <f aca="false">G58*Inputs!$B$58</f>
        <v>59744.70447002</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642.68867239145</v>
      </c>
      <c r="E63" s="35" t="n">
        <f aca="false">MAX(0,E59-E61)*Inputs!$B$59</f>
        <v>1703.08731110761</v>
      </c>
      <c r="F63" s="35" t="n">
        <f aca="false">MAX(0,F59-F61)*Inputs!$B$59</f>
        <v>2664.01647924814</v>
      </c>
      <c r="G63" s="35" t="n">
        <f aca="false">MAX(0,G59-G61)*Inputs!$B$59</f>
        <v>3584.6822682012</v>
      </c>
    </row>
    <row r="64" customFormat="false" ht="15" hidden="false" customHeight="true" outlineLevel="0" collapsed="false">
      <c r="A64" s="13" t="s">
        <v>630</v>
      </c>
      <c r="C64" s="35" t="n">
        <f aca="false">C58-C63</f>
        <v>6136.51646985139</v>
      </c>
      <c r="D64" s="35" t="n">
        <f aca="false">D58-D63</f>
        <v>20067.6972625958</v>
      </c>
      <c r="E64" s="35" t="n">
        <f aca="false">E58-E63</f>
        <v>37720.2300756426</v>
      </c>
      <c r="F64" s="35" t="n">
        <f aca="false">F58-F63</f>
        <v>59003.031651496</v>
      </c>
      <c r="G64" s="35" t="n">
        <f aca="false">G58-G63</f>
        <v>79394.07394016</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3523.15119208015</v>
      </c>
      <c r="E68" s="35" t="n">
        <f aca="false">MAX(0,E64-E66)*Inputs!$B$55</f>
        <v>7921.24831588494</v>
      </c>
      <c r="F68" s="35" t="n">
        <f aca="false">MAX(0,F64-F66)*Inputs!$B$55</f>
        <v>12390.6366468142</v>
      </c>
      <c r="G68" s="35" t="n">
        <f aca="false">MAX(0,G64-G66)*Inputs!$B$55</f>
        <v>16672.7555274336</v>
      </c>
    </row>
    <row r="69" customFormat="false" ht="15" hidden="false" customHeight="true" outlineLevel="0" collapsed="false">
      <c r="A69" s="10" t="s">
        <v>635</v>
      </c>
      <c r="C69" s="36" t="n">
        <f aca="false">IF(Inputs!$J$105=0,MAX(0,C53+C55)*Inputs!B$66,IF(Inputs!$J$105=2,MAX(0,C58)*Inputs!$J$106,C63+C68))</f>
        <v>534.800488867516</v>
      </c>
      <c r="D69" s="36" t="n">
        <f aca="false">IF(Inputs!$J$105=0,MAX(0,D53+D55)*Inputs!C$66,IF(Inputs!$J$105=2,MAX(0,D58)*Inputs!$J$106,D63+D68))</f>
        <v>4165.8398644716</v>
      </c>
      <c r="E69" s="36" t="n">
        <f aca="false">IF(Inputs!$J$105=0,MAX(0,E53+E55)*Inputs!D$66,IF(Inputs!$J$105=2,MAX(0,E58)*Inputs!$J$106,E63+E68))</f>
        <v>9624.33562699254</v>
      </c>
      <c r="F69" s="36" t="n">
        <f aca="false">IF(Inputs!$J$105=0,MAX(0,F53+F55)*Inputs!E$66,IF(Inputs!$J$105=2,MAX(0,F58)*Inputs!$J$106,F63+F68))</f>
        <v>15054.6531260623</v>
      </c>
      <c r="G69" s="36" t="n">
        <f aca="false">IF(Inputs!$J$105=0,MAX(0,G53+G55)*Inputs!F$66,IF(Inputs!$J$105=2,MAX(0,G58)*Inputs!$J$106,G63+G68))</f>
        <v>20257.4377956348</v>
      </c>
    </row>
    <row r="70" customFormat="false" ht="15" hidden="false" customHeight="true" outlineLevel="0" collapsed="false">
      <c r="A70" s="13" t="s">
        <v>636</v>
      </c>
      <c r="C70" s="16" t="n">
        <f aca="false">IF(C58&gt;0,MIN(1,C69/C58),0)</f>
        <v>0.0833856</v>
      </c>
      <c r="D70" s="16" t="n">
        <f aca="false">IF(D58&gt;0,MIN(1,D69/D58),0)</f>
        <v>0.201147379751818</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16544.5460705157</v>
      </c>
      <c r="E71" s="35" t="n">
        <f aca="false">E53+E55-E69</f>
        <v>29798.9817597576</v>
      </c>
      <c r="F71" s="35" t="n">
        <f aca="false">F53+F55-F69</f>
        <v>46612.3950046818</v>
      </c>
      <c r="G71" s="35" t="n">
        <f aca="false">G53+G55-G69</f>
        <v>62721.3184127264</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22836.6180705157</v>
      </c>
      <c r="E75" s="36" t="n">
        <f aca="false">E53+E72+E52+E55-E69-E51+E73+E74</f>
        <v>37392.8617597576</v>
      </c>
      <c r="F75" s="36" t="n">
        <f aca="false">F53+F72+F52+F55-F69-F51+F73+F74</f>
        <v>55971.8521046818</v>
      </c>
      <c r="G75" s="36" t="n">
        <f aca="false">G53+G72+G52+G55-G69-G51+G73+G74</f>
        <v>73215.7893627264</v>
      </c>
    </row>
    <row r="76" customFormat="false" ht="15" hidden="false" customHeight="true" outlineLevel="0" collapsed="false">
      <c r="A76" s="10" t="s">
        <v>642</v>
      </c>
      <c r="C76" s="36" t="n">
        <f aca="false">C53+C52-(C69-C55*C70)-C51+C73+C74</f>
        <v>1333.91049871763</v>
      </c>
      <c r="D76" s="36" t="n">
        <f aca="false">D53+D52-(D69-D55*D70)-D51+D73+D74</f>
        <v>10323.7125652579</v>
      </c>
      <c r="E76" s="36" t="n">
        <f aca="false">E53+E52-(E69-E55*E70)-E51+E73+E74</f>
        <v>20907.884123648</v>
      </c>
      <c r="F76" s="36" t="n">
        <f aca="false">F53+F52-(F69-F55*F70)-F51+F73+F74</f>
        <v>36342.0911384704</v>
      </c>
      <c r="G76" s="36" t="n">
        <f aca="false">G53+G52-(G69-G55*G70)-G51+G73+G74</f>
        <v>51393.3256516632</v>
      </c>
    </row>
    <row r="77" customFormat="false" ht="15" hidden="false" customHeight="true" outlineLevel="0" collapsed="false">
      <c r="A77" s="13" t="s">
        <v>643</v>
      </c>
      <c r="C77" s="16" t="n">
        <f aca="false">IFERROR(C76/C49,0)</f>
        <v>0.0245918384041449</v>
      </c>
      <c r="D77" s="16" t="n">
        <f aca="false">IFERROR(D76/D49,0)</f>
        <v>0.0951634578855679</v>
      </c>
      <c r="E77" s="16" t="n">
        <f aca="false">IFERROR(E76/E49,0)</f>
        <v>0.124340524861987</v>
      </c>
      <c r="F77" s="16" t="n">
        <f aca="false">IFERROR(F76/F49,0)</f>
        <v>0.160095364204016</v>
      </c>
      <c r="G77" s="16" t="n">
        <f aca="false">IFERROR(G76/G49,0)</f>
        <v>0.181119642378507</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160501.335470006</v>
      </c>
      <c r="F80" s="35" t="n">
        <f aca="false">E85</f>
        <v>197894.197229764</v>
      </c>
      <c r="G80" s="35" t="n">
        <f aca="false">F85</f>
        <v>253866.049334446</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22836.6180705157</v>
      </c>
      <c r="E82" s="35" t="n">
        <f aca="false">E75</f>
        <v>37392.8617597576</v>
      </c>
      <c r="F82" s="35" t="n">
        <f aca="false">F75</f>
        <v>55971.8521046818</v>
      </c>
      <c r="G82" s="35" t="n">
        <f aca="false">G75</f>
        <v>73215.7893627264</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160501.335470006</v>
      </c>
      <c r="E85" s="36" t="n">
        <f aca="false">E80+E82+E83+E84</f>
        <v>197894.197229764</v>
      </c>
      <c r="F85" s="36" t="n">
        <f aca="false">F80+F82+F83+F84</f>
        <v>253866.049334446</v>
      </c>
      <c r="G85" s="36" t="n">
        <f aca="false">G80+G82+G83+G84</f>
        <v>327081.838697172</v>
      </c>
    </row>
    <row r="86" customFormat="false" ht="15" hidden="false" customHeight="true" outlineLevel="0" collapsed="false">
      <c r="A86" s="13" t="s">
        <v>653</v>
      </c>
      <c r="C86" s="35" t="n">
        <f aca="false">MIN(C80-C81,C85)</f>
        <v>131845</v>
      </c>
      <c r="D86" s="35" t="n">
        <f aca="false">MIN(D80-D81,D85)</f>
        <v>137664.717399491</v>
      </c>
      <c r="E86" s="35" t="n">
        <f aca="false">MIN(E80-E81,E85)</f>
        <v>160501.335470006</v>
      </c>
      <c r="F86" s="35" t="n">
        <f aca="false">MIN(F80-F81,F85)</f>
        <v>197894.197229764</v>
      </c>
      <c r="G86" s="35" t="n">
        <f aca="false">MIN(G80-G81,G85)</f>
        <v>253866.049334446</v>
      </c>
    </row>
    <row r="87" customFormat="false" ht="15" hidden="false" customHeight="true" outlineLevel="0" collapsed="false">
      <c r="A87" s="13" t="s">
        <v>654</v>
      </c>
      <c r="C87" s="35" t="n">
        <f aca="false">C86-Inputs!$B$29</f>
        <v>126845</v>
      </c>
      <c r="D87" s="35" t="n">
        <f aca="false">D86-Inputs!$B$29</f>
        <v>132664.717399491</v>
      </c>
      <c r="E87" s="35" t="n">
        <f aca="false">E86-Inputs!$B$29</f>
        <v>155501.335470006</v>
      </c>
      <c r="F87" s="35" t="n">
        <f aca="false">F86-Inputs!$B$29</f>
        <v>192894.197229764</v>
      </c>
      <c r="G87" s="35" t="n">
        <f aca="false">G86-Inputs!$B$29</f>
        <v>248866.049334446</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160501.335470006</v>
      </c>
      <c r="E100" s="35" t="n">
        <f aca="false">E85+SUM($C97:E97)+SUM($C98:E98)-SUM($C99:E99)</f>
        <v>197894.197229764</v>
      </c>
      <c r="F100" s="35" t="n">
        <f aca="false">F85+SUM($C97:F97)+SUM($C98:F98)-SUM($C99:F99)</f>
        <v>253866.049334446</v>
      </c>
      <c r="G100" s="35" t="n">
        <f aca="false">G85+SUM($C97:G97)+SUM($C98:G98)-SUM($C99:G99)</f>
        <v>327081.838697172</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160501.335470006</v>
      </c>
      <c r="F101" s="35" t="n">
        <f aca="false">MIN(F80-F81+SUM($C97:E97)+SUM($C98:E98)-SUM($C99:E99)+F97,F100)</f>
        <v>197894.197229764</v>
      </c>
      <c r="G101" s="35" t="n">
        <f aca="false">MIN(G80-G81+SUM($C97:F97)+SUM($C98:F98)-SUM($C99:F99)+G97,G100)</f>
        <v>253866.049334446</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4025.43602033382</v>
      </c>
      <c r="F111" s="35" t="n">
        <f aca="false">MAX(0,F136-F137)*Inputs!$B$20</f>
        <v>5008.79510342286</v>
      </c>
      <c r="G111" s="35" t="n">
        <f aca="false">MAX(0,G136-G137)*Inputs!$B$20</f>
        <v>6539.94520680447</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21475.8490389873</v>
      </c>
      <c r="E114" s="35" t="n">
        <f aca="false">E109+E111+E112-E113</f>
        <v>42371.6343343338</v>
      </c>
      <c r="F114" s="35" t="n">
        <f aca="false">F109+F111+F112-F113</f>
        <v>69604.9962444229</v>
      </c>
      <c r="G114" s="35" t="n">
        <f aca="false">G109+G111+G112-G113</f>
        <v>97816.0782034295</v>
      </c>
    </row>
    <row r="115" customFormat="false" ht="15" hidden="false" customHeight="true" outlineLevel="0" collapsed="false">
      <c r="A115" s="13" t="s">
        <v>625</v>
      </c>
      <c r="C115" s="35" t="n">
        <f aca="false">C114*Inputs!$B$58</f>
        <v>4617.7799522293</v>
      </c>
      <c r="D115" s="35" t="n">
        <f aca="false">D114*Inputs!$B$58</f>
        <v>15462.6113080708</v>
      </c>
      <c r="E115" s="35" t="n">
        <f aca="false">E114*Inputs!$B$58</f>
        <v>30507.5767207204</v>
      </c>
      <c r="F115" s="35" t="n">
        <f aca="false">F114*Inputs!$B$58</f>
        <v>50115.5972959845</v>
      </c>
      <c r="G115" s="35" t="n">
        <f aca="false">G114*Inputs!$B$58</f>
        <v>70427.5763064692</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675.75667848425</v>
      </c>
      <c r="E119" s="35" t="n">
        <f aca="false">MAX(0,E115-E117)*Inputs!$B$59</f>
        <v>1830.45460324322</v>
      </c>
      <c r="F119" s="35" t="n">
        <f aca="false">MAX(0,F115-F117)*Inputs!$B$59</f>
        <v>3006.93583775907</v>
      </c>
      <c r="G119" s="35" t="n">
        <f aca="false">MAX(0,G115-G117)*Inputs!$B$59</f>
        <v>4225.65457838815</v>
      </c>
    </row>
    <row r="120" customFormat="false" ht="15" hidden="false" customHeight="true" outlineLevel="0" collapsed="false">
      <c r="A120" s="13" t="s">
        <v>630</v>
      </c>
      <c r="C120" s="35" t="n">
        <f aca="false">C114-C119</f>
        <v>6136.51646985139</v>
      </c>
      <c r="D120" s="35" t="n">
        <f aca="false">D114-D119</f>
        <v>20800.092360503</v>
      </c>
      <c r="E120" s="35" t="n">
        <f aca="false">E114-E119</f>
        <v>40541.1797310906</v>
      </c>
      <c r="F120" s="35" t="n">
        <f aca="false">F114-F119</f>
        <v>66598.0604066638</v>
      </c>
      <c r="G120" s="35" t="n">
        <f aca="false">G114-G119</f>
        <v>93590.4236250413</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3676.95416264067</v>
      </c>
      <c r="E124" s="35" t="n">
        <f aca="false">MAX(0,E120-E122)*Inputs!$B$55</f>
        <v>8513.64774352903</v>
      </c>
      <c r="F124" s="35" t="n">
        <f aca="false">MAX(0,F120-F122)*Inputs!$B$55</f>
        <v>13985.5926853994</v>
      </c>
      <c r="G124" s="35" t="n">
        <f aca="false">MAX(0,G120-G122)*Inputs!$B$55</f>
        <v>19653.9889612587</v>
      </c>
    </row>
    <row r="125" customFormat="false" ht="15" hidden="false" customHeight="true" outlineLevel="0" collapsed="false">
      <c r="A125" s="10" t="s">
        <v>635</v>
      </c>
      <c r="C125" s="36" t="n">
        <f aca="false">IF(Inputs!$J$105=0,MAX(0,C109+C111)*Inputs!B$66,IF(Inputs!$J$105=2,MAX(0,C114)*Inputs!$J$106,C119+C124))</f>
        <v>534.800488867516</v>
      </c>
      <c r="D125" s="36" t="n">
        <f aca="false">IF(Inputs!$J$105=0,MAX(0,D109+D111)*Inputs!C$66,IF(Inputs!$J$105=2,MAX(0,D114)*Inputs!$J$106,D119+D124))</f>
        <v>4352.71084112492</v>
      </c>
      <c r="E125" s="36" t="n">
        <f aca="false">IF(Inputs!$J$105=0,MAX(0,E109+E111)*Inputs!D$66,IF(Inputs!$J$105=2,MAX(0,E114)*Inputs!$J$106,E119+E124))</f>
        <v>10344.1023467723</v>
      </c>
      <c r="F125" s="36" t="n">
        <f aca="false">IF(Inputs!$J$105=0,MAX(0,F109+F111)*Inputs!E$66,IF(Inputs!$J$105=2,MAX(0,F114)*Inputs!$J$106,F119+F124))</f>
        <v>16992.5285231585</v>
      </c>
      <c r="G125" s="36" t="n">
        <f aca="false">IF(Inputs!$J$105=0,MAX(0,G109+G111)*Inputs!F$66,IF(Inputs!$J$105=2,MAX(0,G114)*Inputs!$J$106,G119+G124))</f>
        <v>23879.6435396468</v>
      </c>
    </row>
    <row r="126" customFormat="false" ht="15" hidden="false" customHeight="true" outlineLevel="0" collapsed="false">
      <c r="A126" s="13" t="s">
        <v>636</v>
      </c>
      <c r="C126" s="16" t="n">
        <f aca="false">IF(C114&gt;0,MIN(1,C125/C114),0)</f>
        <v>0.0833856</v>
      </c>
      <c r="D126" s="16" t="n">
        <f aca="false">IF(D114&gt;0,MIN(1,D125/D114),0)</f>
        <v>0.202679336831946</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17123.1381978623</v>
      </c>
      <c r="E127" s="35" t="n">
        <f aca="false">E109+E111-E125</f>
        <v>32027.5319875616</v>
      </c>
      <c r="F127" s="35" t="n">
        <f aca="false">F109+F111-F125</f>
        <v>52612.4677212644</v>
      </c>
      <c r="G127" s="35" t="n">
        <f aca="false">G109+G111-G125</f>
        <v>73936.4346637827</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23352.7234138624</v>
      </c>
      <c r="E131" s="36" t="n">
        <f aca="false">E109+E128+E108+E111-E125-E107+E129+E130</f>
        <v>39334.3633235616</v>
      </c>
      <c r="F131" s="36" t="n">
        <f aca="false">F109+F128+F108+F111-F125-F107+F129+F130</f>
        <v>61246.0041352644</v>
      </c>
      <c r="G131" s="36" t="n">
        <f aca="false">G109+G128+G108+G111-G125-G107+G129+G130</f>
        <v>83194.2286952827</v>
      </c>
    </row>
    <row r="132" customFormat="false" ht="15" hidden="false" customHeight="true" outlineLevel="0" collapsed="false">
      <c r="A132" s="10" t="s">
        <v>642</v>
      </c>
      <c r="C132" s="36" t="n">
        <f aca="false">C109+C108-(C125-C111*C126)-C107+C129+C130</f>
        <v>1333.91049871763</v>
      </c>
      <c r="D132" s="36" t="n">
        <f aca="false">D109+D108-(D125-D111*D126)-D107+D129+D130</f>
        <v>10845.0903195672</v>
      </c>
      <c r="E132" s="36" t="n">
        <f aca="false">E109+E108-(E125-E111*E126)-E107+E129+E130</f>
        <v>22839.6329479998</v>
      </c>
      <c r="F132" s="36" t="n">
        <f aca="false">F109+F108-(F125-F111*F126)-F107+F129+F130</f>
        <v>41569.8022628499</v>
      </c>
      <c r="G132" s="36" t="n">
        <f aca="false">G109+G108-(G125-G111*G126)-G107+G129+G130</f>
        <v>61225.6594819249</v>
      </c>
    </row>
    <row r="133" customFormat="false" ht="15" hidden="false" customHeight="true" outlineLevel="0" collapsed="false">
      <c r="A133" s="13" t="s">
        <v>643</v>
      </c>
      <c r="C133" s="16" t="n">
        <f aca="false">IFERROR(C132/C105,0)</f>
        <v>0.0245918384041449</v>
      </c>
      <c r="D133" s="16" t="n">
        <f aca="false">IFERROR(D132/D105,0)</f>
        <v>0.0982018580883433</v>
      </c>
      <c r="E133" s="16" t="n">
        <f aca="false">IFERROR(E132/E105,0)</f>
        <v>0.129979673436073</v>
      </c>
      <c r="F133" s="16" t="n">
        <f aca="false">IFERROR(F132/F105,0)</f>
        <v>0.168004263862814</v>
      </c>
      <c r="G133" s="16" t="n">
        <f aca="false">IFERROR(G132/G105,0)</f>
        <v>0.190106269871074</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161017.440813353</v>
      </c>
      <c r="F136" s="35" t="n">
        <f aca="false">E141</f>
        <v>200351.804136915</v>
      </c>
      <c r="G136" s="35" t="n">
        <f aca="false">F141</f>
        <v>261597.808272179</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23352.7234138624</v>
      </c>
      <c r="E138" s="35" t="n">
        <f aca="false">E131</f>
        <v>39334.3633235616</v>
      </c>
      <c r="F138" s="35" t="n">
        <f aca="false">F131</f>
        <v>61246.0041352644</v>
      </c>
      <c r="G138" s="35" t="n">
        <f aca="false">G131</f>
        <v>83194.2286952827</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161017.440813353</v>
      </c>
      <c r="E141" s="36" t="n">
        <f aca="false">E136+E138+E139+E140</f>
        <v>200351.804136915</v>
      </c>
      <c r="F141" s="36" t="n">
        <f aca="false">F136+F138+F139+F140</f>
        <v>261597.808272179</v>
      </c>
      <c r="G141" s="36" t="n">
        <f aca="false">G136+G138+G139+G140</f>
        <v>344792.036967462</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161017.440813353</v>
      </c>
      <c r="F142" s="35" t="n">
        <f aca="false">MIN(F136-F137,F141)</f>
        <v>200351.804136915</v>
      </c>
      <c r="G142" s="35" t="n">
        <f aca="false">MIN(G136-G137,G141)</f>
        <v>261597.808272179</v>
      </c>
    </row>
    <row r="143" customFormat="false" ht="15" hidden="false" customHeight="true" outlineLevel="0" collapsed="false">
      <c r="A143" s="13" t="s">
        <v>654</v>
      </c>
      <c r="C143" s="35" t="n">
        <f aca="false">C142-Inputs!$B$29</f>
        <v>126845</v>
      </c>
      <c r="D143" s="35" t="n">
        <f aca="false">D142-Inputs!$B$29</f>
        <v>132664.717399491</v>
      </c>
      <c r="E143" s="35" t="n">
        <f aca="false">E142-Inputs!$B$29</f>
        <v>156017.440813353</v>
      </c>
      <c r="F143" s="35" t="n">
        <f aca="false">F142-Inputs!$B$29</f>
        <v>195351.804136915</v>
      </c>
      <c r="G143" s="35" t="n">
        <f aca="false">G142-Inputs!$B$29</f>
        <v>256597.808272179</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161017.440813353</v>
      </c>
      <c r="E156" s="35" t="n">
        <f aca="false">E141+SUM($C153:E153)+SUM($C154:E154)-SUM($C155:E155)</f>
        <v>200351.804136915</v>
      </c>
      <c r="F156" s="35" t="n">
        <f aca="false">F141+SUM($C153:F153)+SUM($C154:F154)-SUM($C155:F155)</f>
        <v>261597.808272179</v>
      </c>
      <c r="G156" s="35" t="n">
        <f aca="false">G141+SUM($C153:G153)+SUM($C154:G154)-SUM($C155:G155)</f>
        <v>344792.036967462</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161017.440813353</v>
      </c>
      <c r="F157" s="35" t="n">
        <f aca="false">MIN(F136-F137+SUM($C153:E153)+SUM($C154:E154)-SUM($C155:E155)+F153,F156)</f>
        <v>200351.804136915</v>
      </c>
      <c r="G157" s="35" t="n">
        <f aca="false">MIN(G136-G137+SUM($C153:F153)+SUM($C154:F154)-SUM($C155:F155)+G153,G156)</f>
        <v>261597.808272179</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Inputs!$B$19+Inputs!$J$104</f>
        <v>0.12</v>
      </c>
      <c r="G162" s="16" t="n">
        <f aca="false">Inputs!$B$19+Inputs!$J$104</f>
        <v>0.12</v>
      </c>
    </row>
    <row r="163" customFormat="false" ht="15" hidden="false" customHeight="true" outlineLevel="0" collapsed="false">
      <c r="A163" s="13" t="s">
        <v>673</v>
      </c>
      <c r="F163" s="35" t="n">
        <f aca="false">G53*(1-G70)</f>
        <v>57924.0624516632</v>
      </c>
      <c r="G163" s="35" t="n">
        <f aca="false">G109*(1-G126)</f>
        <v>68993.0732004249</v>
      </c>
    </row>
    <row r="164" customFormat="false" ht="15" hidden="false" customHeight="true" outlineLevel="0" collapsed="false">
      <c r="A164" s="13" t="s">
        <v>674</v>
      </c>
      <c r="F164" s="54" t="n">
        <f aca="false">Inputs!$J$102</f>
        <v>22.5</v>
      </c>
      <c r="G164" s="54" t="n">
        <f aca="false">Inputs!$J$102</f>
        <v>22.5</v>
      </c>
    </row>
    <row r="165" customFormat="false" ht="15" hidden="false" customHeight="true" outlineLevel="0" collapsed="false">
      <c r="A165" s="13" t="s">
        <v>675</v>
      </c>
      <c r="F165" s="35" t="n">
        <f aca="false">F163*F164</f>
        <v>1303291.40516242</v>
      </c>
      <c r="G165" s="35" t="n">
        <f aca="false">G163*G164</f>
        <v>1552344.14700956</v>
      </c>
    </row>
    <row r="166" customFormat="false" ht="15" hidden="false" customHeight="true" outlineLevel="0" collapsed="false">
      <c r="A166" s="13" t="s">
        <v>676</v>
      </c>
      <c r="F166" s="35" t="n">
        <f aca="false">F165*$G$21</f>
        <v>828265.249410355</v>
      </c>
      <c r="G166" s="35" t="n">
        <f aca="false">G165*$G$21</f>
        <v>986542.769330503</v>
      </c>
    </row>
    <row r="167" customFormat="false" ht="15" hidden="false" customHeight="true" outlineLevel="0" collapsed="false">
      <c r="A167" s="13" t="s">
        <v>677</v>
      </c>
      <c r="F167" s="35" t="n">
        <f aca="false">SUMPRODUCT(D76:G76,$D$21:$G$21)-F162*SUMPRODUCT(D81:G81,$D$21:$G$21)</f>
        <v>84414.2079181897</v>
      </c>
      <c r="G167" s="35" t="n">
        <f aca="false">SUMPRODUCT(D132:G132,$D$21:$G$21)-G162*SUMPRODUCT(D137:G137,$D$21:$G$21)</f>
        <v>96389.3095276418</v>
      </c>
    </row>
    <row r="168" customFormat="false" ht="15" hidden="false" customHeight="true" outlineLevel="0" collapsed="false">
      <c r="A168" s="13" t="s">
        <v>678</v>
      </c>
      <c r="F168" s="35" t="n">
        <f aca="false">F166+F167</f>
        <v>912679.457328545</v>
      </c>
      <c r="G168" s="35" t="n">
        <f aca="false">G166+G167</f>
        <v>1082932.07885814</v>
      </c>
    </row>
    <row r="169" customFormat="false" ht="15" hidden="false" customHeight="true" outlineLevel="0" collapsed="false">
      <c r="A169" s="13" t="s">
        <v>679</v>
      </c>
      <c r="F169" s="35" t="n">
        <f aca="false">(G76-G74)*Inputs!$J$103*$G$21</f>
        <v>685889.138780553</v>
      </c>
      <c r="G169" s="35" t="n">
        <f aca="false">(G132-G130)*Inputs!$J$103*$G$21</f>
        <v>817110.282723451</v>
      </c>
    </row>
    <row r="170" customFormat="false" ht="15" hidden="false" customHeight="true" outlineLevel="0" collapsed="false">
      <c r="A170" s="13" t="s">
        <v>680</v>
      </c>
      <c r="F170" s="35" t="n">
        <f aca="false">F167+F169</f>
        <v>770303.346698743</v>
      </c>
      <c r="G170" s="35" t="n">
        <f aca="false">G167+G169</f>
        <v>913499.592251092</v>
      </c>
    </row>
    <row r="171" customFormat="false" ht="15" hidden="false" customHeight="true" outlineLevel="0" collapsed="false">
      <c r="A171" s="13" t="s">
        <v>681</v>
      </c>
      <c r="F171" s="35" t="n">
        <f aca="false">F168*Inputs!$B$21+F170*(1-Inputs!$B$21)</f>
        <v>841491.402013644</v>
      </c>
      <c r="G171" s="35" t="n">
        <f aca="false">G168*Inputs!$B$21+G170*(1-Inputs!$B$21)</f>
        <v>998215.835554619</v>
      </c>
    </row>
    <row r="172" customFormat="false" ht="15" hidden="false" customHeight="true" outlineLevel="0" collapsed="false">
      <c r="A172" s="13" t="s">
        <v>682</v>
      </c>
      <c r="F172" s="16" t="n">
        <f aca="false">IFERROR(F166/F168,0)</f>
        <v>0.90750946869641</v>
      </c>
      <c r="G172" s="16" t="n">
        <f aca="false">IFERROR(G166/G168,0)</f>
        <v>0.91099228528785</v>
      </c>
    </row>
    <row r="173" customFormat="false" ht="15" hidden="false" customHeight="true" outlineLevel="0" collapsed="false">
      <c r="A173" s="13" t="s">
        <v>683</v>
      </c>
      <c r="F173" s="16" t="n">
        <f aca="false">IFERROR(F169/F170,0)</f>
        <v>0.890414330562161</v>
      </c>
      <c r="G173" s="16" t="n">
        <f aca="false">IFERROR(G169/G170,0)</f>
        <v>0.894483467376144</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979156.119413134</v>
      </c>
      <c r="G176" s="34" t="n">
        <f aca="false">G171+G174+G175</f>
        <v>1135880.55295411</v>
      </c>
    </row>
    <row r="177" customFormat="false" ht="15" hidden="false" customHeight="true" outlineLevel="0" collapsed="false">
      <c r="A177" s="13" t="s">
        <v>687</v>
      </c>
      <c r="F177" s="35" t="n">
        <f aca="false">IF(F182="OK",F176,"unresolved")</f>
        <v>979156.119413134</v>
      </c>
      <c r="G177" s="35" t="n">
        <f aca="false">IF(G182="OK",G176,"unresolved")</f>
        <v>1135880.55295411</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54.5884392804051</v>
      </c>
      <c r="G179" s="25" t="n">
        <f aca="false">IF(G182="OK",G176/G178,"n/a")</f>
        <v>63.3259041795012</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54.5884392804051</v>
      </c>
      <c r="G184" s="25" t="n">
        <f aca="false">IF(NOT(ISNUMBER(G179)),"unresolved",IF(G180=0,G179,(G176+G180/(1+G162)^IF(ISNUMBER(G149),MAX(0,G149-2027),0))/(G178+(G180/(1-Inputs!$B$31))/(G179*(1+G162)^IF(ISNUMBER(G149),MAX(0,G149-2027),0)*(1-0)))))</f>
        <v>63.3259041795012</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54.5884392804051</v>
      </c>
      <c r="G185" s="25" t="n">
        <f aca="false">IF(NOT(ISNUMBER(G179)),"unresolved",IF(G180=0,G179,(G176+G180/(1+G162)^IF(ISNUMBER(G149),MAX(0,G149-2027),0))/(G178+(G180/(1-Inputs!$B$31))/(G179*(1+G162)^IF(ISNUMBER(G149),MAX(0,G149-2027),0)*(1-Inputs!$B$30)))))</f>
        <v>63.3259041795012</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54.5884392804051</v>
      </c>
      <c r="G186" s="25" t="n">
        <f aca="false">IF(NOT(ISNUMBER(G179)),"unresolved",IF(G180=0,G179,(G176+G180/(1+G162)^IF(ISNUMBER(G149),MAX(0,G149-2027),0))/(G178+(G180/(1-Inputs!$B$31))/(G179*(1+G162)^IF(ISNUMBER(G149),MAX(0,G149-2027),0)*(1-0.3)))))</f>
        <v>63.3259041795012</v>
      </c>
    </row>
    <row r="187" customFormat="false" ht="15" hidden="false" customHeight="true" outlineLevel="0" collapsed="false">
      <c r="A187" s="13" t="s">
        <v>696</v>
      </c>
      <c r="F187" s="25" t="n">
        <f aca="false">F185</f>
        <v>54.5884392804051</v>
      </c>
      <c r="G187" s="25" t="n">
        <f aca="false">G185</f>
        <v>63.3259041795012</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54.5884392804051</v>
      </c>
      <c r="G189" s="12" t="n">
        <f aca="false">IF(ISNUMBER(G187),G187/(1+Inputs!$B$25)^G188,"unresolved")</f>
        <v>63.3259041795012</v>
      </c>
    </row>
    <row r="190" customFormat="false" ht="15" hidden="false" customHeight="true" outlineLevel="0" collapsed="false">
      <c r="A190" s="13" t="s">
        <v>699</v>
      </c>
      <c r="F190" s="25" t="n">
        <f aca="false">IF(F180=0,F189,"unresolved")</f>
        <v>54.5884392804051</v>
      </c>
      <c r="G190" s="25" t="n">
        <f aca="false">IF(G180=0,G189,"unresolved")</f>
        <v>63.3259041795012</v>
      </c>
    </row>
    <row r="191" customFormat="false" ht="15" hidden="false" customHeight="true" outlineLevel="0" collapsed="false">
      <c r="A191" s="13" t="s">
        <v>700</v>
      </c>
      <c r="F191" s="35" t="n">
        <f aca="false">IF(ISNUMBER(F179),F176+F180/(1+F162)^IF(ISNUMBER(G93),MAX(0,G93-2027),0),"unresolved")</f>
        <v>979156.119413134</v>
      </c>
      <c r="G191" s="35" t="n">
        <f aca="false">IF(ISNUMBER(G179),G176+G180/(1+G162)^IF(ISNUMBER(G149),MAX(0,G149-2027),0),"unresolved")</f>
        <v>1135880.55295411</v>
      </c>
    </row>
    <row r="192" customFormat="false" ht="15" hidden="false" customHeight="true" outlineLevel="0" collapsed="false">
      <c r="A192" s="13" t="s">
        <v>701</v>
      </c>
      <c r="F192" s="28" t="n">
        <f aca="false">IFERROR(F191/D49,"n/a")</f>
        <v>9.02581135847806</v>
      </c>
      <c r="G192" s="28" t="n">
        <f aca="false">IFERROR(G191/D105,"n/a")</f>
        <v>10.2853528720966</v>
      </c>
    </row>
    <row r="193" customFormat="false" ht="15" hidden="false" customHeight="true" outlineLevel="0" collapsed="false">
      <c r="A193" s="13" t="s">
        <v>702</v>
      </c>
      <c r="F193" s="25" t="n">
        <f aca="false">(F168+F174)/F178</f>
        <v>58.5572086707008</v>
      </c>
      <c r="G193" s="25" t="n">
        <f aca="false">(G168+G174)/G178</f>
        <v>68.0488767596147</v>
      </c>
    </row>
    <row r="194" customFormat="false" ht="15" hidden="false" customHeight="true" outlineLevel="0" collapsed="false">
      <c r="A194" s="13" t="s">
        <v>703</v>
      </c>
      <c r="F194" s="25" t="n">
        <f aca="false">(F170+F174)/F178</f>
        <v>50.6196698901094</v>
      </c>
      <c r="G194" s="25" t="n">
        <f aca="false">(G170+G174)/G178</f>
        <v>58.6029315993877</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714</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Historicals!F35+(Inputs!$B$5+Inputs!$K$75)</f>
        <v>54242</v>
      </c>
      <c r="D5" s="35" t="n">
        <f aca="false">C5*(1+Inputs!$K$77)</f>
        <v>108484</v>
      </c>
      <c r="E5" s="35" t="n">
        <f aca="false">D5*(1+Inputs!$K$78)</f>
        <v>168150.2</v>
      </c>
      <c r="F5" s="35" t="n">
        <f aca="false">E5*(1+Inputs!$K$79)</f>
        <v>227002.77</v>
      </c>
      <c r="G5" s="35" t="n">
        <f aca="false">F5*(1+Inputs!$K$80)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Historicals!F51+(Inputs!$B$5+Inputs!$K$75)*Historicals!F51/Historicals!F35</f>
        <v>10731.163207663</v>
      </c>
      <c r="D7" s="35" t="n">
        <f aca="false">D5*Inputs!$K$76</f>
        <v>21696.8</v>
      </c>
      <c r="E7" s="35" t="n">
        <f aca="false">E5*Inputs!$K$76</f>
        <v>33630.04</v>
      </c>
      <c r="F7" s="35" t="n">
        <f aca="false">F5*Inputs!$K$76</f>
        <v>45400.554</v>
      </c>
      <c r="G7" s="35" t="n">
        <f aca="false">G5*Inputs!$K$76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Historicals!F36+Historicals!H6+Inputs!$K$75*Inputs!$K$81</f>
        <v>28258</v>
      </c>
      <c r="D9" s="35" t="n">
        <f aca="false">(C9-Inputs!$K$113)*(1+Inputs!$K$82)</f>
        <v>48038.6</v>
      </c>
      <c r="E9" s="35" t="n">
        <f aca="false">D9*(1+Inputs!$K$83)</f>
        <v>69655.97</v>
      </c>
      <c r="F9" s="35" t="n">
        <f aca="false">E9*(1+Inputs!$K$84)</f>
        <v>90552.761</v>
      </c>
      <c r="G9" s="35" t="n">
        <f aca="false">F9*(1+Inputs!$K$85)</f>
        <v>108663.3132</v>
      </c>
    </row>
    <row r="10" customFormat="false" ht="15" hidden="false" customHeight="true" outlineLevel="0" collapsed="false">
      <c r="A10" s="13" t="s">
        <v>219</v>
      </c>
      <c r="B10" s="41" t="n">
        <f aca="false">Historicals!D36</f>
        <v>7326</v>
      </c>
      <c r="C10" s="35" t="n">
        <f aca="false">Historicals!F36+Historicals!H6+MAX(Inputs!$K$75*Inputs!$K$81,Inputs!$K$108*C22)</f>
        <v>28258</v>
      </c>
      <c r="D10" s="35" t="n">
        <f aca="false">MAX(D9,Inputs!$K$108*D22)</f>
        <v>48038.6</v>
      </c>
      <c r="E10" s="35" t="n">
        <f aca="false">MAX(E9,Inputs!$K$108*E22)</f>
        <v>69655.97</v>
      </c>
      <c r="F10" s="35" t="n">
        <f aca="false">MAX(F9,Inputs!$K$108*F22)</f>
        <v>90552.761</v>
      </c>
      <c r="G10" s="35" t="n">
        <f aca="false">MAX(G9,Inputs!$K$108*G22)</f>
        <v>108663.3132</v>
      </c>
    </row>
    <row r="11" customFormat="false" ht="15" hidden="false" customHeight="true" outlineLevel="0" collapsed="false">
      <c r="A11" s="13" t="s">
        <v>220</v>
      </c>
      <c r="B11" s="41" t="n">
        <f aca="false">Historicals!D37</f>
        <v>1839</v>
      </c>
      <c r="C11" s="35" t="n">
        <f aca="false">Historicals!F37+Historicals!H7+Inputs!$K$75*Historicals!H24</f>
        <v>6982.0728945506</v>
      </c>
      <c r="D11" s="35" t="n">
        <f aca="false">D5*Inputs!$K$86</f>
        <v>15187.76</v>
      </c>
      <c r="E11" s="35" t="n">
        <f aca="false">E5*Inputs!$K$87</f>
        <v>21859.526</v>
      </c>
      <c r="F11" s="35" t="n">
        <f aca="false">F5*Inputs!$K$88</f>
        <v>27240.3324</v>
      </c>
      <c r="G11" s="35" t="n">
        <f aca="false">G5*Inputs!$K$89</f>
        <v>31212.880875</v>
      </c>
    </row>
    <row r="12" customFormat="false" ht="15" hidden="false" customHeight="true" outlineLevel="0" collapsed="false">
      <c r="A12" s="13" t="s">
        <v>584</v>
      </c>
      <c r="B12" s="41" t="n">
        <f aca="false">Historicals!D49</f>
        <v>1158</v>
      </c>
      <c r="C12" s="35" t="n">
        <f aca="false">Historicals!F49+Historicals!H19+Inputs!$K$75*Historicals!H29</f>
        <v>4580.19462137297</v>
      </c>
      <c r="D12" s="35" t="n">
        <f aca="false">D5*Inputs!$K$90</f>
        <v>9763.56</v>
      </c>
      <c r="E12" s="35" t="n">
        <f aca="false">E5*Inputs!$K$91</f>
        <v>13452.016</v>
      </c>
      <c r="F12" s="35" t="n">
        <f aca="false">F5*Inputs!$K$92</f>
        <v>15890.1939</v>
      </c>
      <c r="G12" s="35" t="n">
        <f aca="false">G5*Inputs!$K$93</f>
        <v>17025.20775</v>
      </c>
    </row>
    <row r="13" customFormat="false" ht="15" hidden="false" customHeight="true" outlineLevel="0" collapsed="false">
      <c r="A13" s="13" t="s">
        <v>585</v>
      </c>
      <c r="B13" s="41" t="n">
        <f aca="false">Historicals!D39</f>
        <v>568</v>
      </c>
      <c r="C13" s="35" t="n">
        <f aca="false">Historicals!F39+Historicals!H9+Inputs!$K$75*Historicals!H25</f>
        <v>8453.09766454352</v>
      </c>
      <c r="D13" s="35" t="n">
        <f aca="false">D5*Inputs!$K$94</f>
        <v>18442.28</v>
      </c>
      <c r="E13" s="35" t="n">
        <f aca="false">E5*Inputs!$K$95</f>
        <v>26904.032</v>
      </c>
      <c r="F13" s="35" t="n">
        <f aca="false">F5*Inputs!$K$96</f>
        <v>34050.4155</v>
      </c>
      <c r="G13" s="35" t="n">
        <f aca="false">G5*Inputs!$K$97</f>
        <v>42563.019375</v>
      </c>
    </row>
    <row r="14" customFormat="false" ht="15" hidden="false" customHeight="true" outlineLevel="0" collapsed="false">
      <c r="A14" s="13" t="s">
        <v>586</v>
      </c>
      <c r="B14" s="41" t="n">
        <f aca="false">Historicals!D40</f>
        <v>1412</v>
      </c>
      <c r="C14" s="35" t="n">
        <f aca="false">Historicals!F40+Historicals!H10-Inputs!$B$37+Inputs!$K$75*(Historicals!H10-Inputs!$B$37)/Historicals!H5</f>
        <v>5358.27742392074</v>
      </c>
      <c r="D14" s="35" t="n">
        <f aca="false">D5*Inputs!$K$98</f>
        <v>8678.72</v>
      </c>
      <c r="E14" s="35" t="n">
        <f aca="false">E5*Inputs!$K$99</f>
        <v>11770.514</v>
      </c>
      <c r="F14" s="35" t="n">
        <f aca="false">F5*Inputs!$K$100</f>
        <v>13620.1662</v>
      </c>
      <c r="G14" s="35" t="n">
        <f aca="false">G5*Inputs!$K$101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1/(1+Inputs!$B$19+Inputs!$K$104)^1</f>
        <v>0.87719298245614</v>
      </c>
      <c r="E21" s="53" t="n">
        <f aca="false">1/(1+Inputs!$B$19+Inputs!$K$104)^2</f>
        <v>0.769467528470298</v>
      </c>
      <c r="F21" s="53" t="n">
        <f aca="false">1/(1+Inputs!$B$19+Inputs!$K$104)^3</f>
        <v>0.674971516202016</v>
      </c>
      <c r="G21" s="53" t="n">
        <f aca="false">1/(1+Inputs!$B$19+Inputs!$K$104)^4</f>
        <v>0.592080277370189</v>
      </c>
    </row>
    <row r="22" customFormat="false" ht="15" hidden="false" customHeight="true" outlineLevel="0" collapsed="false">
      <c r="A22" s="13" t="s">
        <v>593</v>
      </c>
      <c r="C22" s="35" t="n">
        <f aca="false">Inputs!B$69+Inputs!$B$47*Inputs!$B$46</f>
        <v>11231</v>
      </c>
      <c r="D22" s="35" t="n">
        <f aca="false">Inputs!C$69+Inputs!$B$47*(1-Inputs!$B$46)+Inputs!$B$70*Inputs!$K$109</f>
        <v>97550</v>
      </c>
      <c r="E22" s="35" t="n">
        <f aca="false">Inputs!D$69+Inputs!$B$70*Inputs!$K$110</f>
        <v>107338.25</v>
      </c>
      <c r="F22" s="35" t="n">
        <f aca="false">Inputs!E$69+Inputs!$B$70*Inputs!$K$111</f>
        <v>117031.375</v>
      </c>
      <c r="G22" s="35" t="n">
        <f aca="false">Inputs!F$69+Inputs!$B$70*Inputs!$K$112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Inputs!$K$107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4012.53338675016</v>
      </c>
      <c r="F55" s="35" t="n">
        <f aca="false">MAX(0,F80-F81)*Inputs!$B$20</f>
        <v>4947.3549307441</v>
      </c>
      <c r="G55" s="35" t="n">
        <f aca="false">MAX(0,G80-G81)*Inputs!$B$20</f>
        <v>6346.65123336114</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20710.3859349873</v>
      </c>
      <c r="E58" s="35" t="n">
        <f aca="false">E53+E55+E56-E57</f>
        <v>39423.3173867502</v>
      </c>
      <c r="F58" s="35" t="n">
        <f aca="false">F53+F55+F56-F57</f>
        <v>61667.0481307441</v>
      </c>
      <c r="G58" s="35" t="n">
        <f aca="false">G53+G55+G56-G57</f>
        <v>82978.7562083612</v>
      </c>
    </row>
    <row r="59" customFormat="false" ht="15" hidden="false" customHeight="true" outlineLevel="0" collapsed="false">
      <c r="A59" s="13" t="s">
        <v>625</v>
      </c>
      <c r="C59" s="35" t="n">
        <f aca="false">C58*Inputs!$B$58</f>
        <v>4617.7799522293</v>
      </c>
      <c r="D59" s="35" t="n">
        <f aca="false">D58*Inputs!$B$58</f>
        <v>14911.4778731908</v>
      </c>
      <c r="E59" s="35" t="n">
        <f aca="false">E58*Inputs!$B$58</f>
        <v>28384.7885184601</v>
      </c>
      <c r="F59" s="35" t="n">
        <f aca="false">F58*Inputs!$B$58</f>
        <v>44400.2746541358</v>
      </c>
      <c r="G59" s="35" t="n">
        <f aca="false">G58*Inputs!$B$58</f>
        <v>59744.70447002</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642.68867239145</v>
      </c>
      <c r="E63" s="35" t="n">
        <f aca="false">MAX(0,E59-E61)*Inputs!$B$59</f>
        <v>1703.08731110761</v>
      </c>
      <c r="F63" s="35" t="n">
        <f aca="false">MAX(0,F59-F61)*Inputs!$B$59</f>
        <v>2664.01647924814</v>
      </c>
      <c r="G63" s="35" t="n">
        <f aca="false">MAX(0,G59-G61)*Inputs!$B$59</f>
        <v>3584.6822682012</v>
      </c>
    </row>
    <row r="64" customFormat="false" ht="15" hidden="false" customHeight="true" outlineLevel="0" collapsed="false">
      <c r="A64" s="13" t="s">
        <v>630</v>
      </c>
      <c r="C64" s="35" t="n">
        <f aca="false">C58-C63</f>
        <v>6136.51646985139</v>
      </c>
      <c r="D64" s="35" t="n">
        <f aca="false">D58-D63</f>
        <v>20067.6972625958</v>
      </c>
      <c r="E64" s="35" t="n">
        <f aca="false">E58-E63</f>
        <v>37720.2300756426</v>
      </c>
      <c r="F64" s="35" t="n">
        <f aca="false">F58-F63</f>
        <v>59003.031651496</v>
      </c>
      <c r="G64" s="35" t="n">
        <f aca="false">G58-G63</f>
        <v>79394.07394016</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3523.15119208015</v>
      </c>
      <c r="E68" s="35" t="n">
        <f aca="false">MAX(0,E64-E66)*Inputs!$B$55</f>
        <v>7921.24831588494</v>
      </c>
      <c r="F68" s="35" t="n">
        <f aca="false">MAX(0,F64-F66)*Inputs!$B$55</f>
        <v>12390.6366468142</v>
      </c>
      <c r="G68" s="35" t="n">
        <f aca="false">MAX(0,G64-G66)*Inputs!$B$55</f>
        <v>16672.7555274336</v>
      </c>
    </row>
    <row r="69" customFormat="false" ht="15" hidden="false" customHeight="true" outlineLevel="0" collapsed="false">
      <c r="A69" s="10" t="s">
        <v>635</v>
      </c>
      <c r="C69" s="36" t="n">
        <f aca="false">IF(Inputs!$K$105=0,MAX(0,C53+C55)*Inputs!B$66,IF(Inputs!$K$105=2,MAX(0,C58)*Inputs!$K$106,C63+C68))</f>
        <v>534.800488867516</v>
      </c>
      <c r="D69" s="36" t="n">
        <f aca="false">IF(Inputs!$K$105=0,MAX(0,D53+D55)*Inputs!C$66,IF(Inputs!$K$105=2,MAX(0,D58)*Inputs!$K$106,D63+D68))</f>
        <v>4165.8398644716</v>
      </c>
      <c r="E69" s="36" t="n">
        <f aca="false">IF(Inputs!$K$105=0,MAX(0,E53+E55)*Inputs!D$66,IF(Inputs!$K$105=2,MAX(0,E58)*Inputs!$K$106,E63+E68))</f>
        <v>9624.33562699254</v>
      </c>
      <c r="F69" s="36" t="n">
        <f aca="false">IF(Inputs!$K$105=0,MAX(0,F53+F55)*Inputs!E$66,IF(Inputs!$K$105=2,MAX(0,F58)*Inputs!$K$106,F63+F68))</f>
        <v>15054.6531260623</v>
      </c>
      <c r="G69" s="36" t="n">
        <f aca="false">IF(Inputs!$K$105=0,MAX(0,G53+G55)*Inputs!F$66,IF(Inputs!$K$105=2,MAX(0,G58)*Inputs!$K$106,G63+G68))</f>
        <v>20257.4377956348</v>
      </c>
    </row>
    <row r="70" customFormat="false" ht="15" hidden="false" customHeight="true" outlineLevel="0" collapsed="false">
      <c r="A70" s="13" t="s">
        <v>636</v>
      </c>
      <c r="C70" s="16" t="n">
        <f aca="false">IF(C58&gt;0,MIN(1,C69/C58),0)</f>
        <v>0.0833856</v>
      </c>
      <c r="D70" s="16" t="n">
        <f aca="false">IF(D58&gt;0,MIN(1,D69/D58),0)</f>
        <v>0.201147379751818</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16544.5460705157</v>
      </c>
      <c r="E71" s="35" t="n">
        <f aca="false">E53+E55-E69</f>
        <v>29798.9817597576</v>
      </c>
      <c r="F71" s="35" t="n">
        <f aca="false">F53+F55-F69</f>
        <v>46612.3950046818</v>
      </c>
      <c r="G71" s="35" t="n">
        <f aca="false">G53+G55-G69</f>
        <v>62721.3184127264</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22836.6180705157</v>
      </c>
      <c r="E75" s="36" t="n">
        <f aca="false">E53+E72+E52+E55-E69-E51+E73+E74</f>
        <v>37392.8617597576</v>
      </c>
      <c r="F75" s="36" t="n">
        <f aca="false">F53+F72+F52+F55-F69-F51+F73+F74</f>
        <v>55971.8521046818</v>
      </c>
      <c r="G75" s="36" t="n">
        <f aca="false">G53+G72+G52+G55-G69-G51+G73+G74</f>
        <v>73215.7893627264</v>
      </c>
    </row>
    <row r="76" customFormat="false" ht="15" hidden="false" customHeight="true" outlineLevel="0" collapsed="false">
      <c r="A76" s="10" t="s">
        <v>642</v>
      </c>
      <c r="C76" s="36" t="n">
        <f aca="false">C53+C52-(C69-C55*C70)-C51+C73+C74</f>
        <v>1333.91049871763</v>
      </c>
      <c r="D76" s="36" t="n">
        <f aca="false">D53+D52-(D69-D55*D70)-D51+D73+D74</f>
        <v>10323.7125652579</v>
      </c>
      <c r="E76" s="36" t="n">
        <f aca="false">E53+E52-(E69-E55*E70)-E51+E73+E74</f>
        <v>20907.884123648</v>
      </c>
      <c r="F76" s="36" t="n">
        <f aca="false">F53+F52-(F69-F55*F70)-F51+F73+F74</f>
        <v>36342.0911384704</v>
      </c>
      <c r="G76" s="36" t="n">
        <f aca="false">G53+G52-(G69-G55*G70)-G51+G73+G74</f>
        <v>51393.3256516632</v>
      </c>
    </row>
    <row r="77" customFormat="false" ht="15" hidden="false" customHeight="true" outlineLevel="0" collapsed="false">
      <c r="A77" s="13" t="s">
        <v>643</v>
      </c>
      <c r="C77" s="16" t="n">
        <f aca="false">IFERROR(C76/C49,0)</f>
        <v>0.0245918384041449</v>
      </c>
      <c r="D77" s="16" t="n">
        <f aca="false">IFERROR(D76/D49,0)</f>
        <v>0.0951634578855679</v>
      </c>
      <c r="E77" s="16" t="n">
        <f aca="false">IFERROR(E76/E49,0)</f>
        <v>0.124340524861987</v>
      </c>
      <c r="F77" s="16" t="n">
        <f aca="false">IFERROR(F76/F49,0)</f>
        <v>0.160095364204016</v>
      </c>
      <c r="G77" s="16" t="n">
        <f aca="false">IFERROR(G76/G49,0)</f>
        <v>0.181119642378507</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160501.335470006</v>
      </c>
      <c r="F80" s="35" t="n">
        <f aca="false">E85</f>
        <v>197894.197229764</v>
      </c>
      <c r="G80" s="35" t="n">
        <f aca="false">F85</f>
        <v>253866.049334446</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22836.6180705157</v>
      </c>
      <c r="E82" s="35" t="n">
        <f aca="false">E75</f>
        <v>37392.8617597576</v>
      </c>
      <c r="F82" s="35" t="n">
        <f aca="false">F75</f>
        <v>55971.8521046818</v>
      </c>
      <c r="G82" s="35" t="n">
        <f aca="false">G75</f>
        <v>73215.7893627264</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160501.335470006</v>
      </c>
      <c r="E85" s="36" t="n">
        <f aca="false">E80+E82+E83+E84</f>
        <v>197894.197229764</v>
      </c>
      <c r="F85" s="36" t="n">
        <f aca="false">F80+F82+F83+F84</f>
        <v>253866.049334446</v>
      </c>
      <c r="G85" s="36" t="n">
        <f aca="false">G80+G82+G83+G84</f>
        <v>327081.838697172</v>
      </c>
    </row>
    <row r="86" customFormat="false" ht="15" hidden="false" customHeight="true" outlineLevel="0" collapsed="false">
      <c r="A86" s="13" t="s">
        <v>653</v>
      </c>
      <c r="C86" s="35" t="n">
        <f aca="false">MIN(C80-C81,C85)</f>
        <v>131845</v>
      </c>
      <c r="D86" s="35" t="n">
        <f aca="false">MIN(D80-D81,D85)</f>
        <v>137664.717399491</v>
      </c>
      <c r="E86" s="35" t="n">
        <f aca="false">MIN(E80-E81,E85)</f>
        <v>160501.335470006</v>
      </c>
      <c r="F86" s="35" t="n">
        <f aca="false">MIN(F80-F81,F85)</f>
        <v>197894.197229764</v>
      </c>
      <c r="G86" s="35" t="n">
        <f aca="false">MIN(G80-G81,G85)</f>
        <v>253866.049334446</v>
      </c>
    </row>
    <row r="87" customFormat="false" ht="15" hidden="false" customHeight="true" outlineLevel="0" collapsed="false">
      <c r="A87" s="13" t="s">
        <v>654</v>
      </c>
      <c r="C87" s="35" t="n">
        <f aca="false">C86-Inputs!$B$29</f>
        <v>126845</v>
      </c>
      <c r="D87" s="35" t="n">
        <f aca="false">D86-Inputs!$B$29</f>
        <v>132664.717399491</v>
      </c>
      <c r="E87" s="35" t="n">
        <f aca="false">E86-Inputs!$B$29</f>
        <v>155501.335470006</v>
      </c>
      <c r="F87" s="35" t="n">
        <f aca="false">F86-Inputs!$B$29</f>
        <v>192894.197229764</v>
      </c>
      <c r="G87" s="35" t="n">
        <f aca="false">G86-Inputs!$B$29</f>
        <v>248866.049334446</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160501.335470006</v>
      </c>
      <c r="E100" s="35" t="n">
        <f aca="false">E85+SUM($C97:E97)+SUM($C98:E98)-SUM($C99:E99)</f>
        <v>197894.197229764</v>
      </c>
      <c r="F100" s="35" t="n">
        <f aca="false">F85+SUM($C97:F97)+SUM($C98:F98)-SUM($C99:F99)</f>
        <v>253866.049334446</v>
      </c>
      <c r="G100" s="35" t="n">
        <f aca="false">G85+SUM($C97:G97)+SUM($C98:G98)-SUM($C99:G99)</f>
        <v>327081.838697172</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160501.335470006</v>
      </c>
      <c r="F101" s="35" t="n">
        <f aca="false">MIN(F80-F81+SUM($C97:E97)+SUM($C98:E98)-SUM($C99:E99)+F97,F100)</f>
        <v>197894.197229764</v>
      </c>
      <c r="G101" s="35" t="n">
        <f aca="false">MIN(G80-G81+SUM($C97:F97)+SUM($C98:F98)-SUM($C99:F99)+G97,G100)</f>
        <v>253866.049334446</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4025.43602033382</v>
      </c>
      <c r="F111" s="35" t="n">
        <f aca="false">MAX(0,F136-F137)*Inputs!$B$20</f>
        <v>5008.79510342286</v>
      </c>
      <c r="G111" s="35" t="n">
        <f aca="false">MAX(0,G136-G137)*Inputs!$B$20</f>
        <v>6539.94520680447</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21475.8490389873</v>
      </c>
      <c r="E114" s="35" t="n">
        <f aca="false">E109+E111+E112-E113</f>
        <v>42371.6343343338</v>
      </c>
      <c r="F114" s="35" t="n">
        <f aca="false">F109+F111+F112-F113</f>
        <v>69604.9962444229</v>
      </c>
      <c r="G114" s="35" t="n">
        <f aca="false">G109+G111+G112-G113</f>
        <v>97816.0782034295</v>
      </c>
    </row>
    <row r="115" customFormat="false" ht="15" hidden="false" customHeight="true" outlineLevel="0" collapsed="false">
      <c r="A115" s="13" t="s">
        <v>625</v>
      </c>
      <c r="C115" s="35" t="n">
        <f aca="false">C114*Inputs!$B$58</f>
        <v>4617.7799522293</v>
      </c>
      <c r="D115" s="35" t="n">
        <f aca="false">D114*Inputs!$B$58</f>
        <v>15462.6113080708</v>
      </c>
      <c r="E115" s="35" t="n">
        <f aca="false">E114*Inputs!$B$58</f>
        <v>30507.5767207204</v>
      </c>
      <c r="F115" s="35" t="n">
        <f aca="false">F114*Inputs!$B$58</f>
        <v>50115.5972959845</v>
      </c>
      <c r="G115" s="35" t="n">
        <f aca="false">G114*Inputs!$B$58</f>
        <v>70427.5763064692</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675.75667848425</v>
      </c>
      <c r="E119" s="35" t="n">
        <f aca="false">MAX(0,E115-E117)*Inputs!$B$59</f>
        <v>1830.45460324322</v>
      </c>
      <c r="F119" s="35" t="n">
        <f aca="false">MAX(0,F115-F117)*Inputs!$B$59</f>
        <v>3006.93583775907</v>
      </c>
      <c r="G119" s="35" t="n">
        <f aca="false">MAX(0,G115-G117)*Inputs!$B$59</f>
        <v>4225.65457838815</v>
      </c>
    </row>
    <row r="120" customFormat="false" ht="15" hidden="false" customHeight="true" outlineLevel="0" collapsed="false">
      <c r="A120" s="13" t="s">
        <v>630</v>
      </c>
      <c r="C120" s="35" t="n">
        <f aca="false">C114-C119</f>
        <v>6136.51646985139</v>
      </c>
      <c r="D120" s="35" t="n">
        <f aca="false">D114-D119</f>
        <v>20800.092360503</v>
      </c>
      <c r="E120" s="35" t="n">
        <f aca="false">E114-E119</f>
        <v>40541.1797310906</v>
      </c>
      <c r="F120" s="35" t="n">
        <f aca="false">F114-F119</f>
        <v>66598.0604066638</v>
      </c>
      <c r="G120" s="35" t="n">
        <f aca="false">G114-G119</f>
        <v>93590.4236250413</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3676.95416264067</v>
      </c>
      <c r="E124" s="35" t="n">
        <f aca="false">MAX(0,E120-E122)*Inputs!$B$55</f>
        <v>8513.64774352903</v>
      </c>
      <c r="F124" s="35" t="n">
        <f aca="false">MAX(0,F120-F122)*Inputs!$B$55</f>
        <v>13985.5926853994</v>
      </c>
      <c r="G124" s="35" t="n">
        <f aca="false">MAX(0,G120-G122)*Inputs!$B$55</f>
        <v>19653.9889612587</v>
      </c>
    </row>
    <row r="125" customFormat="false" ht="15" hidden="false" customHeight="true" outlineLevel="0" collapsed="false">
      <c r="A125" s="10" t="s">
        <v>635</v>
      </c>
      <c r="C125" s="36" t="n">
        <f aca="false">IF(Inputs!$K$105=0,MAX(0,C109+C111)*Inputs!B$66,IF(Inputs!$K$105=2,MAX(0,C114)*Inputs!$K$106,C119+C124))</f>
        <v>534.800488867516</v>
      </c>
      <c r="D125" s="36" t="n">
        <f aca="false">IF(Inputs!$K$105=0,MAX(0,D109+D111)*Inputs!C$66,IF(Inputs!$K$105=2,MAX(0,D114)*Inputs!$K$106,D119+D124))</f>
        <v>4352.71084112492</v>
      </c>
      <c r="E125" s="36" t="n">
        <f aca="false">IF(Inputs!$K$105=0,MAX(0,E109+E111)*Inputs!D$66,IF(Inputs!$K$105=2,MAX(0,E114)*Inputs!$K$106,E119+E124))</f>
        <v>10344.1023467723</v>
      </c>
      <c r="F125" s="36" t="n">
        <f aca="false">IF(Inputs!$K$105=0,MAX(0,F109+F111)*Inputs!E$66,IF(Inputs!$K$105=2,MAX(0,F114)*Inputs!$K$106,F119+F124))</f>
        <v>16992.5285231585</v>
      </c>
      <c r="G125" s="36" t="n">
        <f aca="false">IF(Inputs!$K$105=0,MAX(0,G109+G111)*Inputs!F$66,IF(Inputs!$K$105=2,MAX(0,G114)*Inputs!$K$106,G119+G124))</f>
        <v>23879.6435396468</v>
      </c>
    </row>
    <row r="126" customFormat="false" ht="15" hidden="false" customHeight="true" outlineLevel="0" collapsed="false">
      <c r="A126" s="13" t="s">
        <v>636</v>
      </c>
      <c r="C126" s="16" t="n">
        <f aca="false">IF(C114&gt;0,MIN(1,C125/C114),0)</f>
        <v>0.0833856</v>
      </c>
      <c r="D126" s="16" t="n">
        <f aca="false">IF(D114&gt;0,MIN(1,D125/D114),0)</f>
        <v>0.202679336831946</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17123.1381978623</v>
      </c>
      <c r="E127" s="35" t="n">
        <f aca="false">E109+E111-E125</f>
        <v>32027.5319875616</v>
      </c>
      <c r="F127" s="35" t="n">
        <f aca="false">F109+F111-F125</f>
        <v>52612.4677212644</v>
      </c>
      <c r="G127" s="35" t="n">
        <f aca="false">G109+G111-G125</f>
        <v>73936.4346637827</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23352.7234138624</v>
      </c>
      <c r="E131" s="36" t="n">
        <f aca="false">E109+E128+E108+E111-E125-E107+E129+E130</f>
        <v>39334.3633235616</v>
      </c>
      <c r="F131" s="36" t="n">
        <f aca="false">F109+F128+F108+F111-F125-F107+F129+F130</f>
        <v>61246.0041352644</v>
      </c>
      <c r="G131" s="36" t="n">
        <f aca="false">G109+G128+G108+G111-G125-G107+G129+G130</f>
        <v>83194.2286952827</v>
      </c>
    </row>
    <row r="132" customFormat="false" ht="15" hidden="false" customHeight="true" outlineLevel="0" collapsed="false">
      <c r="A132" s="10" t="s">
        <v>642</v>
      </c>
      <c r="C132" s="36" t="n">
        <f aca="false">C109+C108-(C125-C111*C126)-C107+C129+C130</f>
        <v>1333.91049871763</v>
      </c>
      <c r="D132" s="36" t="n">
        <f aca="false">D109+D108-(D125-D111*D126)-D107+D129+D130</f>
        <v>10845.0903195672</v>
      </c>
      <c r="E132" s="36" t="n">
        <f aca="false">E109+E108-(E125-E111*E126)-E107+E129+E130</f>
        <v>22839.6329479998</v>
      </c>
      <c r="F132" s="36" t="n">
        <f aca="false">F109+F108-(F125-F111*F126)-F107+F129+F130</f>
        <v>41569.8022628499</v>
      </c>
      <c r="G132" s="36" t="n">
        <f aca="false">G109+G108-(G125-G111*G126)-G107+G129+G130</f>
        <v>61225.6594819249</v>
      </c>
    </row>
    <row r="133" customFormat="false" ht="15" hidden="false" customHeight="true" outlineLevel="0" collapsed="false">
      <c r="A133" s="13" t="s">
        <v>643</v>
      </c>
      <c r="C133" s="16" t="n">
        <f aca="false">IFERROR(C132/C105,0)</f>
        <v>0.0245918384041449</v>
      </c>
      <c r="D133" s="16" t="n">
        <f aca="false">IFERROR(D132/D105,0)</f>
        <v>0.0982018580883433</v>
      </c>
      <c r="E133" s="16" t="n">
        <f aca="false">IFERROR(E132/E105,0)</f>
        <v>0.129979673436073</v>
      </c>
      <c r="F133" s="16" t="n">
        <f aca="false">IFERROR(F132/F105,0)</f>
        <v>0.168004263862814</v>
      </c>
      <c r="G133" s="16" t="n">
        <f aca="false">IFERROR(G132/G105,0)</f>
        <v>0.190106269871074</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161017.440813353</v>
      </c>
      <c r="F136" s="35" t="n">
        <f aca="false">E141</f>
        <v>200351.804136915</v>
      </c>
      <c r="G136" s="35" t="n">
        <f aca="false">F141</f>
        <v>261597.808272179</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23352.7234138624</v>
      </c>
      <c r="E138" s="35" t="n">
        <f aca="false">E131</f>
        <v>39334.3633235616</v>
      </c>
      <c r="F138" s="35" t="n">
        <f aca="false">F131</f>
        <v>61246.0041352644</v>
      </c>
      <c r="G138" s="35" t="n">
        <f aca="false">G131</f>
        <v>83194.2286952827</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161017.440813353</v>
      </c>
      <c r="E141" s="36" t="n">
        <f aca="false">E136+E138+E139+E140</f>
        <v>200351.804136915</v>
      </c>
      <c r="F141" s="36" t="n">
        <f aca="false">F136+F138+F139+F140</f>
        <v>261597.808272179</v>
      </c>
      <c r="G141" s="36" t="n">
        <f aca="false">G136+G138+G139+G140</f>
        <v>344792.036967462</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161017.440813353</v>
      </c>
      <c r="F142" s="35" t="n">
        <f aca="false">MIN(F136-F137,F141)</f>
        <v>200351.804136915</v>
      </c>
      <c r="G142" s="35" t="n">
        <f aca="false">MIN(G136-G137,G141)</f>
        <v>261597.808272179</v>
      </c>
    </row>
    <row r="143" customFormat="false" ht="15" hidden="false" customHeight="true" outlineLevel="0" collapsed="false">
      <c r="A143" s="13" t="s">
        <v>654</v>
      </c>
      <c r="C143" s="35" t="n">
        <f aca="false">C142-Inputs!$B$29</f>
        <v>126845</v>
      </c>
      <c r="D143" s="35" t="n">
        <f aca="false">D142-Inputs!$B$29</f>
        <v>132664.717399491</v>
      </c>
      <c r="E143" s="35" t="n">
        <f aca="false">E142-Inputs!$B$29</f>
        <v>156017.440813353</v>
      </c>
      <c r="F143" s="35" t="n">
        <f aca="false">F142-Inputs!$B$29</f>
        <v>195351.804136915</v>
      </c>
      <c r="G143" s="35" t="n">
        <f aca="false">G142-Inputs!$B$29</f>
        <v>256597.808272179</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161017.440813353</v>
      </c>
      <c r="E156" s="35" t="n">
        <f aca="false">E141+SUM($C153:E153)+SUM($C154:E154)-SUM($C155:E155)</f>
        <v>200351.804136915</v>
      </c>
      <c r="F156" s="35" t="n">
        <f aca="false">F141+SUM($C153:F153)+SUM($C154:F154)-SUM($C155:F155)</f>
        <v>261597.808272179</v>
      </c>
      <c r="G156" s="35" t="n">
        <f aca="false">G141+SUM($C153:G153)+SUM($C154:G154)-SUM($C155:G155)</f>
        <v>344792.036967462</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161017.440813353</v>
      </c>
      <c r="F157" s="35" t="n">
        <f aca="false">MIN(F136-F137+SUM($C153:E153)+SUM($C154:E154)-SUM($C155:E155)+F153,F156)</f>
        <v>200351.804136915</v>
      </c>
      <c r="G157" s="35" t="n">
        <f aca="false">MIN(G136-G137+SUM($C153:F153)+SUM($C154:F154)-SUM($C155:F155)+G153,G156)</f>
        <v>261597.808272179</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Inputs!$B$19+Inputs!$K$104</f>
        <v>0.14</v>
      </c>
      <c r="G162" s="16" t="n">
        <f aca="false">Inputs!$B$19+Inputs!$K$104</f>
        <v>0.14</v>
      </c>
    </row>
    <row r="163" customFormat="false" ht="15" hidden="false" customHeight="true" outlineLevel="0" collapsed="false">
      <c r="A163" s="13" t="s">
        <v>673</v>
      </c>
      <c r="F163" s="35" t="n">
        <f aca="false">G53*(1-G70)</f>
        <v>57924.0624516632</v>
      </c>
      <c r="G163" s="35" t="n">
        <f aca="false">G109*(1-G126)</f>
        <v>68993.0732004249</v>
      </c>
    </row>
    <row r="164" customFormat="false" ht="15" hidden="false" customHeight="true" outlineLevel="0" collapsed="false">
      <c r="A164" s="13" t="s">
        <v>674</v>
      </c>
      <c r="F164" s="54" t="n">
        <f aca="false">Inputs!$K$102</f>
        <v>30</v>
      </c>
      <c r="G164" s="54" t="n">
        <f aca="false">Inputs!$K$102</f>
        <v>30</v>
      </c>
    </row>
    <row r="165" customFormat="false" ht="15" hidden="false" customHeight="true" outlineLevel="0" collapsed="false">
      <c r="A165" s="13" t="s">
        <v>675</v>
      </c>
      <c r="F165" s="35" t="n">
        <f aca="false">F163*F164</f>
        <v>1737721.8735499</v>
      </c>
      <c r="G165" s="35" t="n">
        <f aca="false">G163*G164</f>
        <v>2069792.19601275</v>
      </c>
    </row>
    <row r="166" customFormat="false" ht="15" hidden="false" customHeight="true" outlineLevel="0" collapsed="false">
      <c r="A166" s="13" t="s">
        <v>676</v>
      </c>
      <c r="F166" s="35" t="n">
        <f aca="false">F165*$G$21</f>
        <v>1028870.84888367</v>
      </c>
      <c r="G166" s="35" t="n">
        <f aca="false">G165*$G$21</f>
        <v>1225483.13751388</v>
      </c>
    </row>
    <row r="167" customFormat="false" ht="15" hidden="false" customHeight="true" outlineLevel="0" collapsed="false">
      <c r="A167" s="13" t="s">
        <v>677</v>
      </c>
      <c r="F167" s="35" t="n">
        <f aca="false">SUMPRODUCT(D76:G76,$D$21:$G$21)-F162*SUMPRODUCT(D81:G81,$D$21:$G$21)</f>
        <v>80102.6770018038</v>
      </c>
      <c r="G167" s="35" t="n">
        <f aca="false">SUMPRODUCT(D132:G132,$D$21:$G$21)-G162*SUMPRODUCT(D137:G137,$D$21:$G$21)</f>
        <v>91396.5309478983</v>
      </c>
    </row>
    <row r="168" customFormat="false" ht="15" hidden="false" customHeight="true" outlineLevel="0" collapsed="false">
      <c r="A168" s="13" t="s">
        <v>678</v>
      </c>
      <c r="F168" s="35" t="n">
        <f aca="false">F166+F167</f>
        <v>1108973.52588547</v>
      </c>
      <c r="G168" s="35" t="n">
        <f aca="false">G166+G167</f>
        <v>1316879.66846178</v>
      </c>
    </row>
    <row r="169" customFormat="false" ht="15" hidden="false" customHeight="true" outlineLevel="0" collapsed="false">
      <c r="A169" s="13" t="s">
        <v>679</v>
      </c>
      <c r="F169" s="35" t="n">
        <f aca="false">(G76-G74)*Inputs!$K$103*$G$21</f>
        <v>852011.28619077</v>
      </c>
      <c r="G169" s="35" t="n">
        <f aca="false">(G132-G130)*Inputs!$K$103*$G$21</f>
        <v>1015014.15255046</v>
      </c>
    </row>
    <row r="170" customFormat="false" ht="15" hidden="false" customHeight="true" outlineLevel="0" collapsed="false">
      <c r="A170" s="13" t="s">
        <v>680</v>
      </c>
      <c r="F170" s="35" t="n">
        <f aca="false">F167+F169</f>
        <v>932113.963192574</v>
      </c>
      <c r="G170" s="35" t="n">
        <f aca="false">G167+G169</f>
        <v>1106410.68349836</v>
      </c>
    </row>
    <row r="171" customFormat="false" ht="15" hidden="false" customHeight="true" outlineLevel="0" collapsed="false">
      <c r="A171" s="13" t="s">
        <v>681</v>
      </c>
      <c r="F171" s="35" t="n">
        <f aca="false">F168*Inputs!$B$21+F170*(1-Inputs!$B$21)</f>
        <v>1020543.74453902</v>
      </c>
      <c r="G171" s="35" t="n">
        <f aca="false">G168*Inputs!$B$21+G170*(1-Inputs!$B$21)</f>
        <v>1211645.17598007</v>
      </c>
    </row>
    <row r="172" customFormat="false" ht="15" hidden="false" customHeight="true" outlineLevel="0" collapsed="false">
      <c r="A172" s="13" t="s">
        <v>682</v>
      </c>
      <c r="F172" s="16" t="n">
        <f aca="false">IFERROR(F166/F168,0)</f>
        <v>0.927768630060087</v>
      </c>
      <c r="G172" s="16" t="n">
        <f aca="false">IFERROR(G166/G168,0)</f>
        <v>0.930596140910387</v>
      </c>
    </row>
    <row r="173" customFormat="false" ht="15" hidden="false" customHeight="true" outlineLevel="0" collapsed="false">
      <c r="A173" s="13" t="s">
        <v>683</v>
      </c>
      <c r="F173" s="16" t="n">
        <f aca="false">IFERROR(F169/F170,0)</f>
        <v>0.914063429832716</v>
      </c>
      <c r="G173" s="16" t="n">
        <f aca="false">IFERROR(G169/G170,0)</f>
        <v>0.917393665561045</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1158208.46193851</v>
      </c>
      <c r="G176" s="34" t="n">
        <f aca="false">G171+G174+G175</f>
        <v>1349309.89337956</v>
      </c>
    </row>
    <row r="177" customFormat="false" ht="15" hidden="false" customHeight="true" outlineLevel="0" collapsed="false">
      <c r="A177" s="13" t="s">
        <v>687</v>
      </c>
      <c r="F177" s="35" t="n">
        <f aca="false">IF(F182="OK",F176,"unresolved")</f>
        <v>1158208.46193851</v>
      </c>
      <c r="G177" s="35" t="n">
        <f aca="false">IF(G182="OK",G176,"unresolved")</f>
        <v>1349309.89337956</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64.570696179151</v>
      </c>
      <c r="G179" s="25" t="n">
        <f aca="false">IF(G182="OK",G176/G178,"n/a")</f>
        <v>75.224695760822</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64.570696179151</v>
      </c>
      <c r="G184" s="25" t="n">
        <f aca="false">IF(NOT(ISNUMBER(G179)),"unresolved",IF(G180=0,G179,(G176+G180/(1+G162)^IF(ISNUMBER(G149),MAX(0,G149-2027),0))/(G178+(G180/(1-Inputs!$B$31))/(G179*(1+G162)^IF(ISNUMBER(G149),MAX(0,G149-2027),0)*(1-0)))))</f>
        <v>75.224695760822</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64.570696179151</v>
      </c>
      <c r="G185" s="25" t="n">
        <f aca="false">IF(NOT(ISNUMBER(G179)),"unresolved",IF(G180=0,G179,(G176+G180/(1+G162)^IF(ISNUMBER(G149),MAX(0,G149-2027),0))/(G178+(G180/(1-Inputs!$B$31))/(G179*(1+G162)^IF(ISNUMBER(G149),MAX(0,G149-2027),0)*(1-Inputs!$B$30)))))</f>
        <v>75.224695760822</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64.570696179151</v>
      </c>
      <c r="G186" s="25" t="n">
        <f aca="false">IF(NOT(ISNUMBER(G179)),"unresolved",IF(G180=0,G179,(G176+G180/(1+G162)^IF(ISNUMBER(G149),MAX(0,G149-2027),0))/(G178+(G180/(1-Inputs!$B$31))/(G179*(1+G162)^IF(ISNUMBER(G149),MAX(0,G149-2027),0)*(1-0.3)))))</f>
        <v>75.224695760822</v>
      </c>
    </row>
    <row r="187" customFormat="false" ht="15" hidden="false" customHeight="true" outlineLevel="0" collapsed="false">
      <c r="A187" s="13" t="s">
        <v>696</v>
      </c>
      <c r="F187" s="25" t="n">
        <f aca="false">F185</f>
        <v>64.570696179151</v>
      </c>
      <c r="G187" s="25" t="n">
        <f aca="false">G185</f>
        <v>75.224695760822</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64.570696179151</v>
      </c>
      <c r="G189" s="12" t="n">
        <f aca="false">IF(ISNUMBER(G187),G187/(1+Inputs!$B$25)^G188,"unresolved")</f>
        <v>75.224695760822</v>
      </c>
    </row>
    <row r="190" customFormat="false" ht="15" hidden="false" customHeight="true" outlineLevel="0" collapsed="false">
      <c r="A190" s="13" t="s">
        <v>699</v>
      </c>
      <c r="F190" s="25" t="n">
        <f aca="false">IF(F180=0,F189,"unresolved")</f>
        <v>64.570696179151</v>
      </c>
      <c r="G190" s="25" t="n">
        <f aca="false">IF(G180=0,G189,"unresolved")</f>
        <v>75.224695760822</v>
      </c>
    </row>
    <row r="191" customFormat="false" ht="15" hidden="false" customHeight="true" outlineLevel="0" collapsed="false">
      <c r="A191" s="13" t="s">
        <v>700</v>
      </c>
      <c r="F191" s="35" t="n">
        <f aca="false">IF(ISNUMBER(F179),F176+F180/(1+F162)^IF(ISNUMBER(G93),MAX(0,G93-2027),0),"unresolved")</f>
        <v>1158208.46193851</v>
      </c>
      <c r="G191" s="35" t="n">
        <f aca="false">IF(ISNUMBER(G179),G176+G180/(1+G162)^IF(ISNUMBER(G149),MAX(0,G149-2027),0),"unresolved")</f>
        <v>1349309.89337956</v>
      </c>
    </row>
    <row r="192" customFormat="false" ht="15" hidden="false" customHeight="true" outlineLevel="0" collapsed="false">
      <c r="A192" s="13" t="s">
        <v>701</v>
      </c>
      <c r="F192" s="28" t="n">
        <f aca="false">IFERROR(F191/D49,"n/a")</f>
        <v>10.6763067543464</v>
      </c>
      <c r="G192" s="28" t="n">
        <f aca="false">IFERROR(G191/D105,"n/a")</f>
        <v>12.2179469937457</v>
      </c>
    </row>
    <row r="193" customFormat="false" ht="15" hidden="false" customHeight="true" outlineLevel="0" collapsed="false">
      <c r="A193" s="13" t="s">
        <v>702</v>
      </c>
      <c r="F193" s="25" t="n">
        <f aca="false">(F168+F174)/F178</f>
        <v>69.500700346927</v>
      </c>
      <c r="G193" s="25" t="n">
        <f aca="false">(G168+G174)/G178</f>
        <v>81.0915709088679</v>
      </c>
    </row>
    <row r="194" customFormat="false" ht="15" hidden="false" customHeight="true" outlineLevel="0" collapsed="false">
      <c r="A194" s="13" t="s">
        <v>703</v>
      </c>
      <c r="F194" s="25" t="n">
        <f aca="false">(F170+F174)/F178</f>
        <v>59.640692011375</v>
      </c>
      <c r="G194" s="25" t="n">
        <f aca="false">(G170+G174)/G178</f>
        <v>69.3578206127761</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715</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Historicals!F35+(Inputs!$B$5+Inputs!$L$75)</f>
        <v>54242</v>
      </c>
      <c r="D5" s="35" t="n">
        <f aca="false">C5*(1+Inputs!$L$77)</f>
        <v>81363</v>
      </c>
      <c r="E5" s="35" t="n">
        <f aca="false">D5*(1+Inputs!$L$78)</f>
        <v>103737.825</v>
      </c>
      <c r="F5" s="35" t="n">
        <f aca="false">E5*(1+Inputs!$L$79)</f>
        <v>121891.944375</v>
      </c>
      <c r="G5" s="35" t="n">
        <f aca="false">F5*(1+Inputs!$L$80)</f>
        <v>137128.437421875</v>
      </c>
    </row>
    <row r="6" customFormat="false" ht="15" hidden="false" customHeight="true" outlineLevel="0" collapsed="false">
      <c r="A6" s="13" t="s">
        <v>580</v>
      </c>
      <c r="C6" s="16" t="n">
        <f aca="false">IFERROR(C5/B5-1,0)</f>
        <v>10.8303162486369</v>
      </c>
      <c r="D6" s="16" t="n">
        <f aca="false">IFERROR(D5/C5-1,0)</f>
        <v>0.5</v>
      </c>
      <c r="E6" s="16" t="n">
        <f aca="false">IFERROR(E5/D5-1,0)</f>
        <v>0.275</v>
      </c>
      <c r="F6" s="16" t="n">
        <f aca="false">IFERROR(F5/E5-1,0)</f>
        <v>0.175</v>
      </c>
      <c r="G6" s="16" t="n">
        <f aca="false">IFERROR(G5/F5-1,0)</f>
        <v>0.125</v>
      </c>
    </row>
    <row r="7" customFormat="false" ht="15" hidden="false" customHeight="true" outlineLevel="0" collapsed="false">
      <c r="A7" s="13" t="s">
        <v>581</v>
      </c>
      <c r="B7" s="41" t="n">
        <f aca="false">Historicals!D51</f>
        <v>789</v>
      </c>
      <c r="C7" s="35" t="n">
        <f aca="false">Historicals!F51+(Inputs!$B$5+Inputs!$L$75)*Historicals!F51/Historicals!F35</f>
        <v>10731.163207663</v>
      </c>
      <c r="D7" s="35" t="n">
        <f aca="false">D5*Inputs!$L$76</f>
        <v>16272.6</v>
      </c>
      <c r="E7" s="35" t="n">
        <f aca="false">E5*Inputs!$L$76</f>
        <v>20747.565</v>
      </c>
      <c r="F7" s="35" t="n">
        <f aca="false">F5*Inputs!$L$76</f>
        <v>24378.388875</v>
      </c>
      <c r="G7" s="35" t="n">
        <f aca="false">G5*Inputs!$L$76</f>
        <v>27425.687484375</v>
      </c>
    </row>
    <row r="8" customFormat="false" ht="15" hidden="false" customHeight="true" outlineLevel="0" collapsed="false">
      <c r="A8" s="13" t="s">
        <v>582</v>
      </c>
      <c r="B8" s="35" t="n">
        <f aca="false">B5-B7</f>
        <v>3796</v>
      </c>
      <c r="C8" s="35" t="n">
        <f aca="false">C5-C7</f>
        <v>43510.836792337</v>
      </c>
      <c r="D8" s="35" t="n">
        <f aca="false">D5-D7</f>
        <v>65090.4</v>
      </c>
      <c r="E8" s="35" t="n">
        <f aca="false">E5-E7</f>
        <v>82990.26</v>
      </c>
      <c r="F8" s="35" t="n">
        <f aca="false">F5-F7</f>
        <v>97513.5555</v>
      </c>
      <c r="G8" s="35" t="n">
        <f aca="false">G5-G7</f>
        <v>109702.7499375</v>
      </c>
    </row>
    <row r="9" customFormat="false" ht="15" hidden="false" customHeight="true" outlineLevel="0" collapsed="false">
      <c r="A9" s="13" t="s">
        <v>583</v>
      </c>
      <c r="C9" s="35" t="n">
        <f aca="false">Historicals!F36+Historicals!H6+Inputs!$L$75*Inputs!$L$81</f>
        <v>28258</v>
      </c>
      <c r="D9" s="35" t="n">
        <f aca="false">(C9-Inputs!$L$113)*(1+Inputs!$L$82)</f>
        <v>57646.32</v>
      </c>
      <c r="E9" s="35" t="n">
        <f aca="false">D9*(1+Inputs!$L$83)</f>
        <v>83587.164</v>
      </c>
      <c r="F9" s="35" t="n">
        <f aca="false">E9*(1+Inputs!$L$84)</f>
        <v>108663.3132</v>
      </c>
      <c r="G9" s="35" t="n">
        <f aca="false">F9*(1+Inputs!$L$85)</f>
        <v>130395.97584</v>
      </c>
    </row>
    <row r="10" customFormat="false" ht="15" hidden="false" customHeight="true" outlineLevel="0" collapsed="false">
      <c r="A10" s="13" t="s">
        <v>219</v>
      </c>
      <c r="B10" s="41" t="n">
        <f aca="false">Historicals!D36</f>
        <v>7326</v>
      </c>
      <c r="C10" s="35" t="n">
        <f aca="false">Historicals!F36+Historicals!H6+MAX(Inputs!$L$75*Inputs!$L$81,Inputs!$L$108*C22)</f>
        <v>28258</v>
      </c>
      <c r="D10" s="35" t="n">
        <f aca="false">MAX(D9,Inputs!$L$108*D22)</f>
        <v>57646.32</v>
      </c>
      <c r="E10" s="35" t="n">
        <f aca="false">MAX(E9,Inputs!$L$108*E22)</f>
        <v>83587.164</v>
      </c>
      <c r="F10" s="35" t="n">
        <f aca="false">MAX(F9,Inputs!$L$108*F22)</f>
        <v>108663.3132</v>
      </c>
      <c r="G10" s="35" t="n">
        <f aca="false">MAX(G9,Inputs!$L$108*G22)</f>
        <v>130395.97584</v>
      </c>
    </row>
    <row r="11" customFormat="false" ht="15" hidden="false" customHeight="true" outlineLevel="0" collapsed="false">
      <c r="A11" s="13" t="s">
        <v>220</v>
      </c>
      <c r="B11" s="41" t="n">
        <f aca="false">Historicals!D37</f>
        <v>1839</v>
      </c>
      <c r="C11" s="35" t="n">
        <f aca="false">Historicals!F37+Historicals!H7+Inputs!$L$75*Historicals!H24</f>
        <v>6982.0728945506</v>
      </c>
      <c r="D11" s="35" t="n">
        <f aca="false">D5*Inputs!$L$86</f>
        <v>11390.82</v>
      </c>
      <c r="E11" s="35" t="n">
        <f aca="false">E5*Inputs!$L$87</f>
        <v>13485.91725</v>
      </c>
      <c r="F11" s="35" t="n">
        <f aca="false">F5*Inputs!$L$88</f>
        <v>14627.033325</v>
      </c>
      <c r="G11" s="35" t="n">
        <f aca="false">G5*Inputs!$L$89</f>
        <v>15084.1281164063</v>
      </c>
    </row>
    <row r="12" customFormat="false" ht="15" hidden="false" customHeight="true" outlineLevel="0" collapsed="false">
      <c r="A12" s="13" t="s">
        <v>584</v>
      </c>
      <c r="B12" s="41" t="n">
        <f aca="false">Historicals!D49</f>
        <v>1158</v>
      </c>
      <c r="C12" s="35" t="n">
        <f aca="false">Historicals!F49+Historicals!H19+Inputs!$L$75*Historicals!H29</f>
        <v>4580.19462137297</v>
      </c>
      <c r="D12" s="35" t="n">
        <f aca="false">D5*Inputs!$L$90</f>
        <v>7322.67</v>
      </c>
      <c r="E12" s="35" t="n">
        <f aca="false">E5*Inputs!$L$91</f>
        <v>8299.026</v>
      </c>
      <c r="F12" s="35" t="n">
        <f aca="false">F5*Inputs!$L$92</f>
        <v>8532.43610625</v>
      </c>
      <c r="G12" s="35" t="n">
        <f aca="false">G5*Inputs!$L$93</f>
        <v>8227.7062453125</v>
      </c>
    </row>
    <row r="13" customFormat="false" ht="15" hidden="false" customHeight="true" outlineLevel="0" collapsed="false">
      <c r="A13" s="13" t="s">
        <v>585</v>
      </c>
      <c r="B13" s="41" t="n">
        <f aca="false">Historicals!D39</f>
        <v>568</v>
      </c>
      <c r="C13" s="35" t="n">
        <f aca="false">Historicals!F39+Historicals!H9+Inputs!$L$75*Historicals!H25</f>
        <v>8453.09766454352</v>
      </c>
      <c r="D13" s="35" t="n">
        <f aca="false">D5*Inputs!$L$94</f>
        <v>13831.71</v>
      </c>
      <c r="E13" s="35" t="n">
        <f aca="false">E5*Inputs!$L$95</f>
        <v>16598.052</v>
      </c>
      <c r="F13" s="35" t="n">
        <f aca="false">F5*Inputs!$L$96</f>
        <v>18283.79165625</v>
      </c>
      <c r="G13" s="35" t="n">
        <f aca="false">G5*Inputs!$L$97</f>
        <v>20569.2656132813</v>
      </c>
    </row>
    <row r="14" customFormat="false" ht="15" hidden="false" customHeight="true" outlineLevel="0" collapsed="false">
      <c r="A14" s="13" t="s">
        <v>586</v>
      </c>
      <c r="B14" s="41" t="n">
        <f aca="false">Historicals!D40</f>
        <v>1412</v>
      </c>
      <c r="C14" s="35" t="n">
        <f aca="false">Historicals!F40+Historicals!H10-Inputs!$B$37+Inputs!$L$75*(Historicals!H10-Inputs!$B$37)/Historicals!H5</f>
        <v>5358.27742392074</v>
      </c>
      <c r="D14" s="35" t="n">
        <f aca="false">D5*Inputs!$L$98</f>
        <v>6509.04</v>
      </c>
      <c r="E14" s="35" t="n">
        <f aca="false">E5*Inputs!$L$99</f>
        <v>7261.64775</v>
      </c>
      <c r="F14" s="35" t="n">
        <f aca="false">F5*Inputs!$L$100</f>
        <v>7313.5166625</v>
      </c>
      <c r="G14" s="35" t="n">
        <f aca="false">G5*Inputs!$L$101</f>
        <v>8227.7062453125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89377.89</v>
      </c>
      <c r="E16" s="36" t="n">
        <f aca="false">E10+E11+E13+E14+E15</f>
        <v>120932.781</v>
      </c>
      <c r="F16" s="36" t="n">
        <f aca="false">F10+F11+F13+F14+F15</f>
        <v>148887.65484375</v>
      </c>
      <c r="G16" s="36" t="n">
        <f aca="false">G10+G11+G13+G14+G15</f>
        <v>174277.075815</v>
      </c>
    </row>
    <row r="17" customFormat="false" ht="15" hidden="false" customHeight="true" outlineLevel="0" collapsed="false">
      <c r="A17" s="10" t="s">
        <v>588</v>
      </c>
      <c r="B17" s="34" t="n">
        <f aca="false">B5-B16</f>
        <v>-8060</v>
      </c>
      <c r="C17" s="34" t="n">
        <f aca="false">C5-C16</f>
        <v>3230.55201698514</v>
      </c>
      <c r="D17" s="34" t="n">
        <f aca="false">D5-D16</f>
        <v>-8014.89</v>
      </c>
      <c r="E17" s="34" t="n">
        <f aca="false">E5-E16</f>
        <v>-17194.956</v>
      </c>
      <c r="F17" s="34" t="n">
        <f aca="false">F5-F16</f>
        <v>-26995.71046875</v>
      </c>
      <c r="G17" s="34" t="n">
        <f aca="false">G5-G16</f>
        <v>-37148.638393125</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-0.0985077983850153</v>
      </c>
      <c r="E18" s="16" t="n">
        <f aca="false">IFERROR(E17/E5,0)</f>
        <v>-0.165753966790802</v>
      </c>
      <c r="F18" s="16" t="n">
        <f aca="false">IFERROR(F17/F5,0)</f>
        <v>-0.221472473896206</v>
      </c>
      <c r="G18" s="16" t="n">
        <f aca="false">IFERROR(G17/G5,0)</f>
        <v>-0.270903972155953</v>
      </c>
    </row>
    <row r="19" customFormat="false" ht="15" hidden="false" customHeight="true" outlineLevel="0" collapsed="false">
      <c r="A19" s="13" t="s">
        <v>590</v>
      </c>
      <c r="B19" s="16" t="n">
        <f aca="false">IFERROR(B10/B5,0)</f>
        <v>1.59781897491821</v>
      </c>
      <c r="C19" s="16" t="n">
        <f aca="false">IFERROR(C10/C5,0)</f>
        <v>0.52096161645957</v>
      </c>
      <c r="D19" s="16" t="n">
        <f aca="false">IFERROR(D10/D5,0)</f>
        <v>0.708507798385015</v>
      </c>
      <c r="E19" s="16" t="n">
        <f aca="false">IFERROR(E10/E5,0)</f>
        <v>0.805753966790802</v>
      </c>
      <c r="F19" s="16" t="n">
        <f aca="false">IFERROR(F10/F5,0)</f>
        <v>0.891472473896206</v>
      </c>
      <c r="G19" s="16" t="n">
        <f aca="false">IFERROR(G10/G5,0)</f>
        <v>0.950903972155953</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1/(1+Inputs!$B$19+Inputs!$L$104)^1</f>
        <v>0.87719298245614</v>
      </c>
      <c r="E21" s="53" t="n">
        <f aca="false">1/(1+Inputs!$B$19+Inputs!$L$104)^2</f>
        <v>0.769467528470298</v>
      </c>
      <c r="F21" s="53" t="n">
        <f aca="false">1/(1+Inputs!$B$19+Inputs!$L$104)^3</f>
        <v>0.674971516202016</v>
      </c>
      <c r="G21" s="53" t="n">
        <f aca="false">1/(1+Inputs!$B$19+Inputs!$L$104)^4</f>
        <v>0.592080277370189</v>
      </c>
    </row>
    <row r="22" customFormat="false" ht="15" hidden="false" customHeight="true" outlineLevel="0" collapsed="false">
      <c r="A22" s="13" t="s">
        <v>593</v>
      </c>
      <c r="C22" s="35" t="n">
        <f aca="false">Inputs!B$69+Inputs!$B$47*Inputs!$B$46</f>
        <v>11231</v>
      </c>
      <c r="D22" s="35" t="n">
        <f aca="false">Inputs!C$69+Inputs!$B$47*(1-Inputs!$B$46)+Inputs!$B$70*Inputs!$L$109</f>
        <v>97550</v>
      </c>
      <c r="E22" s="35" t="n">
        <f aca="false">Inputs!D$69+Inputs!$B$70*Inputs!$L$110</f>
        <v>107338.25</v>
      </c>
      <c r="F22" s="35" t="n">
        <f aca="false">Inputs!E$69+Inputs!$B$70*Inputs!$L$111</f>
        <v>117031.375</v>
      </c>
      <c r="G22" s="35" t="n">
        <f aca="false">Inputs!F$69+Inputs!$B$70*Inputs!$L$112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1627.26</v>
      </c>
      <c r="E25" s="35" t="n">
        <f aca="false">E5*E24</f>
        <v>5186.89125</v>
      </c>
      <c r="F25" s="35" t="n">
        <f aca="false">F5*F24</f>
        <v>12189.1944375</v>
      </c>
      <c r="G25" s="35" t="n">
        <f aca="false">G5*G24</f>
        <v>20569.2656132813</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13018.08</v>
      </c>
      <c r="E27" s="35" t="n">
        <f aca="false">E25*E26</f>
        <v>41495.13</v>
      </c>
      <c r="F27" s="35" t="n">
        <f aca="false">F25*F26</f>
        <v>97513.5555</v>
      </c>
      <c r="G27" s="35" t="n">
        <f aca="false">G25*G26</f>
        <v>164554.12490625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1952.712</v>
      </c>
      <c r="E29" s="36" t="n">
        <f aca="false">E27*E28</f>
        <v>6224.2695</v>
      </c>
      <c r="F29" s="36" t="n">
        <f aca="false">F27*F28</f>
        <v>14627.033325</v>
      </c>
      <c r="G29" s="36" t="n">
        <f aca="false">G27*G28</f>
        <v>24683.1187359375</v>
      </c>
    </row>
    <row r="30" customFormat="false" ht="15" hidden="false" customHeight="true" outlineLevel="0" collapsed="false">
      <c r="A30" s="13" t="s">
        <v>601</v>
      </c>
      <c r="C30" s="35" t="n">
        <f aca="false">C25*Inputs!$C$124</f>
        <v>0</v>
      </c>
      <c r="D30" s="35" t="n">
        <f aca="false">D25*Inputs!$C$124</f>
        <v>488.178</v>
      </c>
      <c r="E30" s="35" t="n">
        <f aca="false">E25*Inputs!$C$124</f>
        <v>1556.067375</v>
      </c>
      <c r="F30" s="35" t="n">
        <f aca="false">F25*Inputs!$C$124</f>
        <v>3656.75833125</v>
      </c>
      <c r="G30" s="35" t="n">
        <f aca="false">G25*Inputs!$C$124</f>
        <v>6170.77968398438</v>
      </c>
    </row>
    <row r="31" customFormat="false" ht="15" hidden="false" customHeight="true" outlineLevel="0" collapsed="false">
      <c r="A31" s="13" t="s">
        <v>602</v>
      </c>
      <c r="C31" s="35" t="n">
        <f aca="false">C29-C30</f>
        <v>0</v>
      </c>
      <c r="D31" s="35" t="n">
        <f aca="false">D29-D30</f>
        <v>1464.534</v>
      </c>
      <c r="E31" s="35" t="n">
        <f aca="false">E29-E30</f>
        <v>4668.202125</v>
      </c>
      <c r="F31" s="35" t="n">
        <f aca="false">F29-F30</f>
        <v>10970.27499375</v>
      </c>
      <c r="G31" s="35" t="n">
        <f aca="false">G29-G30</f>
        <v>18512.3390519531</v>
      </c>
    </row>
    <row r="32" customFormat="false" ht="15" hidden="false" customHeight="true" outlineLevel="0" collapsed="false">
      <c r="A32" s="13" t="s">
        <v>603</v>
      </c>
      <c r="C32" s="35" t="n">
        <f aca="false">C29*Inputs!$C$125</f>
        <v>0</v>
      </c>
      <c r="D32" s="35" t="n">
        <f aca="false">D29*Inputs!$C$125</f>
        <v>390.5424</v>
      </c>
      <c r="E32" s="35" t="n">
        <f aca="false">E29*Inputs!$C$125</f>
        <v>1244.8539</v>
      </c>
      <c r="F32" s="35" t="n">
        <f aca="false">F29*Inputs!$C$125</f>
        <v>2925.406665</v>
      </c>
      <c r="G32" s="35" t="n">
        <f aca="false">G29*Inputs!$C$125</f>
        <v>4936.6237471875</v>
      </c>
    </row>
    <row r="33" customFormat="false" ht="15" hidden="false" customHeight="true" outlineLevel="0" collapsed="false">
      <c r="A33" s="13" t="s">
        <v>604</v>
      </c>
      <c r="C33" s="35" t="n">
        <f aca="false">C29*Inputs!$C$126</f>
        <v>0</v>
      </c>
      <c r="D33" s="35" t="n">
        <f aca="false">D29*Inputs!$C$126</f>
        <v>292.9068</v>
      </c>
      <c r="E33" s="35" t="n">
        <f aca="false">E29*Inputs!$C$126</f>
        <v>933.640425</v>
      </c>
      <c r="F33" s="35" t="n">
        <f aca="false">F29*Inputs!$C$126</f>
        <v>2194.05499875</v>
      </c>
      <c r="G33" s="35" t="n">
        <f aca="false">G29*Inputs!$C$126</f>
        <v>3702.46781039063</v>
      </c>
    </row>
    <row r="34" customFormat="false" ht="15" hidden="false" customHeight="true" outlineLevel="0" collapsed="false">
      <c r="A34" s="13" t="s">
        <v>605</v>
      </c>
      <c r="C34" s="35" t="n">
        <f aca="false">C29*Inputs!$C$127</f>
        <v>0</v>
      </c>
      <c r="D34" s="35" t="n">
        <f aca="false">D29*Inputs!$C$127</f>
        <v>195.2712</v>
      </c>
      <c r="E34" s="35" t="n">
        <f aca="false">E29*Inputs!$C$127</f>
        <v>622.42695</v>
      </c>
      <c r="F34" s="35" t="n">
        <f aca="false">F29*Inputs!$C$127</f>
        <v>1462.7033325</v>
      </c>
      <c r="G34" s="35" t="n">
        <f aca="false">G29*Inputs!$C$127</f>
        <v>2468.31187359375</v>
      </c>
    </row>
    <row r="35" customFormat="false" ht="15" hidden="false" customHeight="true" outlineLevel="0" collapsed="false">
      <c r="A35" s="10" t="s">
        <v>606</v>
      </c>
      <c r="C35" s="34" t="n">
        <f aca="false">C29-C30-C32-C33-C34</f>
        <v>0</v>
      </c>
      <c r="D35" s="34" t="n">
        <f aca="false">D29-D30-D32-D33-D34</f>
        <v>585.8136</v>
      </c>
      <c r="E35" s="34" t="n">
        <f aca="false">E29-E30-E32-E33-E34</f>
        <v>1867.28085</v>
      </c>
      <c r="F35" s="34" t="n">
        <f aca="false">F29-F30-F32-F33-F34</f>
        <v>4388.1099975</v>
      </c>
      <c r="G35" s="34" t="n">
        <f aca="false">G29-G30-G32-G33-G34</f>
        <v>7404.93562078125</v>
      </c>
    </row>
    <row r="36" customFormat="false" ht="15" hidden="false" customHeight="true" outlineLevel="0" collapsed="false">
      <c r="A36" s="13" t="s">
        <v>92</v>
      </c>
      <c r="C36" s="55" t="n">
        <f aca="false">IFERROR(C27/Inputs!$B$27,0)</f>
        <v>0</v>
      </c>
      <c r="D36" s="55" t="n">
        <f aca="false">IFERROR(D27/Inputs!$B$27,0)</f>
        <v>0.000325452</v>
      </c>
      <c r="E36" s="55" t="n">
        <f aca="false">IFERROR(E27/Inputs!$B$27,0)</f>
        <v>0.00103737825</v>
      </c>
      <c r="F36" s="55" t="n">
        <f aca="false">IFERROR(F27/Inputs!$B$27,0)</f>
        <v>0.0024378388875</v>
      </c>
      <c r="G36" s="55" t="n">
        <f aca="false">IFERROR(G27/Inputs!$B$27,0)</f>
        <v>0.00411385312265625</v>
      </c>
    </row>
    <row r="37" customFormat="false" ht="15" hidden="false" customHeight="true" outlineLevel="0" collapsed="false">
      <c r="A37" s="13" t="s">
        <v>607</v>
      </c>
      <c r="C37" s="35" t="n">
        <f aca="false">CHOOSE(Inputs!$B$35,C31*Inputs!B$67,C29*Inputs!$B$36,0)</f>
        <v>0</v>
      </c>
      <c r="D37" s="35" t="n">
        <f aca="false">CHOOSE(Inputs!$B$35,D31*Inputs!C$67,D29*Inputs!$B$36,0)</f>
        <v>58.58136</v>
      </c>
      <c r="E37" s="35" t="n">
        <f aca="false">CHOOSE(Inputs!$B$35,E31*Inputs!D$67,E29*Inputs!$B$36,0)</f>
        <v>233.41010625</v>
      </c>
      <c r="F37" s="35" t="n">
        <f aca="false">CHOOSE(Inputs!$B$35,F31*Inputs!E$67,F29*Inputs!$B$36,0)</f>
        <v>548.5137496875</v>
      </c>
      <c r="G37" s="35" t="n">
        <f aca="false">CHOOSE(Inputs!$B$35,G31*Inputs!F$67,G29*Inputs!$B$36,0)</f>
        <v>925.616952597656</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Inputs!$L$107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57646.32</v>
      </c>
      <c r="E44" s="35" t="n">
        <f aca="false">E10*Inputs!$B$39</f>
        <v>83587.164</v>
      </c>
      <c r="F44" s="35" t="n">
        <f aca="false">F10*Inputs!$B$39</f>
        <v>108663.3132</v>
      </c>
      <c r="G44" s="35" t="n">
        <f aca="false">G10*Inputs!$B$39</f>
        <v>130395.97584</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81363</v>
      </c>
      <c r="E49" s="35" t="n">
        <f aca="false">E5</f>
        <v>103737.825</v>
      </c>
      <c r="F49" s="35" t="n">
        <f aca="false">F5</f>
        <v>121891.944375</v>
      </c>
      <c r="G49" s="35" t="n">
        <f aca="false">G5</f>
        <v>137128.437421875</v>
      </c>
    </row>
    <row r="50" customFormat="false" ht="15" hidden="false" customHeight="true" outlineLevel="0" collapsed="false">
      <c r="A50" s="13" t="s">
        <v>588</v>
      </c>
      <c r="C50" s="35" t="n">
        <f aca="false">C17</f>
        <v>3230.55201698514</v>
      </c>
      <c r="D50" s="35" t="n">
        <f aca="false">D17</f>
        <v>-8014.89</v>
      </c>
      <c r="E50" s="35" t="n">
        <f aca="false">E17</f>
        <v>-17194.956</v>
      </c>
      <c r="F50" s="35" t="n">
        <f aca="false">F17</f>
        <v>-26995.71046875</v>
      </c>
      <c r="G50" s="35" t="n">
        <f aca="false">G17</f>
        <v>-37148.638393125</v>
      </c>
    </row>
    <row r="51" customFormat="false" ht="15" hidden="false" customHeight="true" outlineLevel="0" collapsed="false">
      <c r="A51" s="13" t="s">
        <v>617</v>
      </c>
      <c r="C51" s="35" t="n">
        <f aca="false">C5*Inputs!B$67</f>
        <v>1627.26</v>
      </c>
      <c r="D51" s="35" t="n">
        <f aca="false">D5*Inputs!C$67</f>
        <v>3254.52</v>
      </c>
      <c r="E51" s="35" t="n">
        <f aca="false">E5*Inputs!D$67</f>
        <v>5186.89125</v>
      </c>
      <c r="F51" s="35" t="n">
        <f aca="false">F5*Inputs!E$67</f>
        <v>6094.59721875</v>
      </c>
      <c r="G51" s="35" t="n">
        <f aca="false">G5*Inputs!F$67</f>
        <v>6856.42187109375</v>
      </c>
    </row>
    <row r="52" customFormat="false" ht="15" hidden="false" customHeight="true" outlineLevel="0" collapsed="false">
      <c r="A52" s="13" t="s">
        <v>618</v>
      </c>
      <c r="C52" s="33" t="n">
        <v>0</v>
      </c>
      <c r="D52" s="35" t="n">
        <f aca="false">SUMPRODUCT($D51:D51,--((4-COLUMN($D51:D51))&lt;Inputs!$B$32))/Inputs!$B$32</f>
        <v>650.904</v>
      </c>
      <c r="E52" s="35" t="n">
        <f aca="false">SUMPRODUCT($D51:E51,--((5-COLUMN($D51:E51))&lt;Inputs!$B$32))/Inputs!$B$32</f>
        <v>1688.28225</v>
      </c>
      <c r="F52" s="35" t="n">
        <f aca="false">SUMPRODUCT($D51:F51,--((6-COLUMN($D51:F51))&lt;Inputs!$B$32))/Inputs!$B$32</f>
        <v>2907.20169375</v>
      </c>
      <c r="G52" s="35" t="n">
        <f aca="false">SUMPRODUCT($D51:G51,--((7-COLUMN($D51:G51))&lt;Inputs!$B$32))/Inputs!$B$32</f>
        <v>4278.48606796875</v>
      </c>
    </row>
    <row r="53" customFormat="false" ht="15" hidden="false" customHeight="true" outlineLevel="0" collapsed="false">
      <c r="A53" s="10" t="s">
        <v>619</v>
      </c>
      <c r="C53" s="36" t="n">
        <f aca="false">C50-C52</f>
        <v>3230.55201698514</v>
      </c>
      <c r="D53" s="36" t="n">
        <f aca="false">D50-D52</f>
        <v>-8665.794</v>
      </c>
      <c r="E53" s="36" t="n">
        <f aca="false">E50-E52</f>
        <v>-18883.23825</v>
      </c>
      <c r="F53" s="36" t="n">
        <f aca="false">F50-F52</f>
        <v>-29902.9121625</v>
      </c>
      <c r="G53" s="36" t="n">
        <f aca="false">G50-G52</f>
        <v>-41427.1244610937</v>
      </c>
    </row>
    <row r="54" customFormat="false" ht="15" hidden="false" customHeight="true" outlineLevel="0" collapsed="false">
      <c r="A54" s="13" t="s">
        <v>620</v>
      </c>
      <c r="C54" s="16" t="n">
        <f aca="false">IFERROR(C53/C49,0)</f>
        <v>0.0595581287007327</v>
      </c>
      <c r="D54" s="16" t="n">
        <f aca="false">IFERROR(D53/D49,0)</f>
        <v>-0.106507798385015</v>
      </c>
      <c r="E54" s="16" t="n">
        <f aca="false">IFERROR(E53/E49,0)</f>
        <v>-0.182028476594723</v>
      </c>
      <c r="F54" s="16" t="n">
        <f aca="false">IFERROR(F53/F49,0)</f>
        <v>-0.245323120537842</v>
      </c>
      <c r="G54" s="16" t="n">
        <f aca="false">IFERROR(G53/G49,0)</f>
        <v>-0.302104546948518</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3428.98988336195</v>
      </c>
      <c r="F55" s="35" t="n">
        <f aca="false">MAX(0,F80-F81)*Inputs!$B$20</f>
        <v>3162.644099196</v>
      </c>
      <c r="G55" s="35" t="n">
        <f aca="false">MAX(0,G80-G81)*Inputs!$B$20</f>
        <v>2627.76341214465</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-5224.17606501273</v>
      </c>
      <c r="E58" s="35" t="n">
        <f aca="false">E53+E55+E56-E57</f>
        <v>-15454.248366638</v>
      </c>
      <c r="F58" s="35" t="n">
        <f aca="false">F53+F55+F56-F57</f>
        <v>-26740.268063304</v>
      </c>
      <c r="G58" s="35" t="n">
        <f aca="false">G53+G55+G56-G57</f>
        <v>-38799.3610489491</v>
      </c>
    </row>
    <row r="59" customFormat="false" ht="15" hidden="false" customHeight="true" outlineLevel="0" collapsed="false">
      <c r="A59" s="13" t="s">
        <v>625</v>
      </c>
      <c r="C59" s="35" t="n">
        <f aca="false">C58*Inputs!$B$58</f>
        <v>4617.7799522293</v>
      </c>
      <c r="D59" s="35" t="n">
        <f aca="false">D58*Inputs!$B$58</f>
        <v>-3761.40676680917</v>
      </c>
      <c r="E59" s="35" t="n">
        <f aca="false">E58*Inputs!$B$58</f>
        <v>-11127.0588239794</v>
      </c>
      <c r="F59" s="35" t="n">
        <f aca="false">F58*Inputs!$B$58</f>
        <v>-19252.9930055789</v>
      </c>
      <c r="G59" s="35" t="n">
        <f aca="false">G58*Inputs!$B$58</f>
        <v>-27935.5399552433</v>
      </c>
    </row>
    <row r="60" customFormat="false" ht="15" hidden="false" customHeight="true" outlineLevel="0" collapsed="false">
      <c r="A60" s="13" t="s">
        <v>626</v>
      </c>
      <c r="C60" s="35" t="n">
        <f aca="false">Inputs!$B$60</f>
        <v>4200</v>
      </c>
      <c r="D60" s="35" t="n">
        <f aca="false">C62</f>
        <v>4200</v>
      </c>
      <c r="E60" s="35" t="n">
        <f aca="false">D62</f>
        <v>7961.40676680917</v>
      </c>
      <c r="F60" s="35" t="n">
        <f aca="false">E62</f>
        <v>19088.4655907886</v>
      </c>
      <c r="G60" s="35" t="n">
        <f aca="false">F62</f>
        <v>38341.4585963674</v>
      </c>
    </row>
    <row r="61" customFormat="false" ht="15" hidden="false" customHeight="true" outlineLevel="0" collapsed="false">
      <c r="A61" s="13" t="s">
        <v>627</v>
      </c>
      <c r="C61" s="35" t="n">
        <f aca="false">IF(AND(2026=2026,Inputs!$B$61=1),0,MIN(C60,MAX(0,C59)))</f>
        <v>0</v>
      </c>
      <c r="D61" s="35" t="n">
        <f aca="false">IF(AND(2027=2026,Inputs!$B$61=1),0,MIN(D60,MAX(0,D59)))</f>
        <v>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7961.40676680917</v>
      </c>
      <c r="E62" s="35" t="n">
        <f aca="false">E60-E61+MAX(0,-E59)</f>
        <v>19088.4655907886</v>
      </c>
      <c r="F62" s="35" t="n">
        <f aca="false">F60-F61+MAX(0,-F59)</f>
        <v>38341.4585963674</v>
      </c>
      <c r="G62" s="35" t="n">
        <f aca="false">G60-G61+MAX(0,-G59)</f>
        <v>66276.9985516108</v>
      </c>
    </row>
    <row r="63" customFormat="false" ht="15" hidden="false" customHeight="true" outlineLevel="0" collapsed="false">
      <c r="A63" s="13" t="s">
        <v>629</v>
      </c>
      <c r="C63" s="35" t="n">
        <f aca="false">MAX(0,C59-C61)*Inputs!$B$59</f>
        <v>277.066797133758</v>
      </c>
      <c r="D63" s="35" t="n">
        <f aca="false">MAX(0,D59-D61)*Inputs!$B$59</f>
        <v>0</v>
      </c>
      <c r="E63" s="35" t="n">
        <f aca="false">MAX(0,E59-E61)*Inputs!$B$59</f>
        <v>0</v>
      </c>
      <c r="F63" s="35" t="n">
        <f aca="false">MAX(0,F59-F61)*Inputs!$B$59</f>
        <v>0</v>
      </c>
      <c r="G63" s="35" t="n">
        <f aca="false">MAX(0,G59-G61)*Inputs!$B$59</f>
        <v>0</v>
      </c>
    </row>
    <row r="64" customFormat="false" ht="15" hidden="false" customHeight="true" outlineLevel="0" collapsed="false">
      <c r="A64" s="13" t="s">
        <v>630</v>
      </c>
      <c r="C64" s="35" t="n">
        <f aca="false">C58-C63</f>
        <v>6136.51646985139</v>
      </c>
      <c r="D64" s="35" t="n">
        <f aca="false">D58-D63</f>
        <v>-5224.17606501273</v>
      </c>
      <c r="E64" s="35" t="n">
        <f aca="false">E58-E63</f>
        <v>-15454.248366638</v>
      </c>
      <c r="F64" s="35" t="n">
        <f aca="false">F58-F63</f>
        <v>-26740.268063304</v>
      </c>
      <c r="G64" s="35" t="n">
        <f aca="false">G58-G63</f>
        <v>-38799.3610489491</v>
      </c>
    </row>
    <row r="65" customFormat="false" ht="15" hidden="false" customHeight="true" outlineLevel="0" collapsed="false">
      <c r="A65" s="13" t="s">
        <v>631</v>
      </c>
      <c r="C65" s="35" t="n">
        <f aca="false">Inputs!$B$56</f>
        <v>8200</v>
      </c>
      <c r="D65" s="35" t="n">
        <f aca="false">C67</f>
        <v>3290.78682411889</v>
      </c>
      <c r="E65" s="35" t="n">
        <f aca="false">D67</f>
        <v>8514.96288913162</v>
      </c>
      <c r="F65" s="35" t="n">
        <f aca="false">E67</f>
        <v>23969.2112557697</v>
      </c>
      <c r="G65" s="35" t="n">
        <f aca="false">F67</f>
        <v>50709.4793190737</v>
      </c>
    </row>
    <row r="66" customFormat="false" ht="15" hidden="false" customHeight="true" outlineLevel="0" collapsed="false">
      <c r="A66" s="13" t="s">
        <v>632</v>
      </c>
      <c r="C66" s="35" t="n">
        <f aca="false">MIN(C65,Inputs!$B$57*MAX(0,C64))</f>
        <v>4909.21317588111</v>
      </c>
      <c r="D66" s="35" t="n">
        <f aca="false">MIN(D65,Inputs!$B$57*MAX(0,D64))</f>
        <v>0</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8514.96288913162</v>
      </c>
      <c r="E67" s="35" t="n">
        <f aca="false">E65-E66+MAX(0,-E64)</f>
        <v>23969.2112557697</v>
      </c>
      <c r="F67" s="35" t="n">
        <f aca="false">F65-F66+MAX(0,-F64)</f>
        <v>50709.4793190737</v>
      </c>
      <c r="G67" s="35" t="n">
        <f aca="false">G65-G66+MAX(0,-G64)</f>
        <v>89508.8403680227</v>
      </c>
    </row>
    <row r="68" customFormat="false" ht="15" hidden="false" customHeight="true" outlineLevel="0" collapsed="false">
      <c r="A68" s="13" t="s">
        <v>634</v>
      </c>
      <c r="C68" s="35" t="n">
        <f aca="false">MAX(0,C64-C66)*Inputs!$B$55</f>
        <v>257.733691733758</v>
      </c>
      <c r="D68" s="35" t="n">
        <f aca="false">MAX(0,D64-D66)*Inputs!$B$55</f>
        <v>0</v>
      </c>
      <c r="E68" s="35" t="n">
        <f aca="false">MAX(0,E64-E66)*Inputs!$B$55</f>
        <v>0</v>
      </c>
      <c r="F68" s="35" t="n">
        <f aca="false">MAX(0,F64-F66)*Inputs!$B$55</f>
        <v>0</v>
      </c>
      <c r="G68" s="35" t="n">
        <f aca="false">MAX(0,G64-G66)*Inputs!$B$55</f>
        <v>0</v>
      </c>
    </row>
    <row r="69" customFormat="false" ht="15" hidden="false" customHeight="true" outlineLevel="0" collapsed="false">
      <c r="A69" s="10" t="s">
        <v>635</v>
      </c>
      <c r="C69" s="36" t="n">
        <f aca="false">IF(Inputs!$L$105=0,MAX(0,C53+C55)*Inputs!B$66,IF(Inputs!$L$105=2,MAX(0,C58)*Inputs!$L$106,C63+C68))</f>
        <v>534.800488867516</v>
      </c>
      <c r="D69" s="36" t="n">
        <f aca="false">IF(Inputs!$L$105=0,MAX(0,D53+D55)*Inputs!C$66,IF(Inputs!$L$105=2,MAX(0,D58)*Inputs!$L$106,D63+D68))</f>
        <v>0</v>
      </c>
      <c r="E69" s="36" t="n">
        <f aca="false">IF(Inputs!$L$105=0,MAX(0,E53+E55)*Inputs!D$66,IF(Inputs!$L$105=2,MAX(0,E58)*Inputs!$L$106,E63+E68))</f>
        <v>0</v>
      </c>
      <c r="F69" s="36" t="n">
        <f aca="false">IF(Inputs!$L$105=0,MAX(0,F53+F55)*Inputs!E$66,IF(Inputs!$L$105=2,MAX(0,F58)*Inputs!$L$106,F63+F68))</f>
        <v>0</v>
      </c>
      <c r="G69" s="36" t="n">
        <f aca="false">IF(Inputs!$L$105=0,MAX(0,G53+G55)*Inputs!F$66,IF(Inputs!$L$105=2,MAX(0,G58)*Inputs!$L$106,G63+G68))</f>
        <v>0</v>
      </c>
    </row>
    <row r="70" customFormat="false" ht="15" hidden="false" customHeight="true" outlineLevel="0" collapsed="false">
      <c r="A70" s="13" t="s">
        <v>636</v>
      </c>
      <c r="C70" s="16" t="n">
        <f aca="false">IF(C58&gt;0,MIN(1,C69/C58),0)</f>
        <v>0.0833856</v>
      </c>
      <c r="D70" s="16" t="n">
        <f aca="false">IF(D58&gt;0,MIN(1,D69/D58),0)</f>
        <v>0</v>
      </c>
      <c r="E70" s="16" t="n">
        <f aca="false">IF(E58&gt;0,MIN(1,E69/E58),0)</f>
        <v>0</v>
      </c>
      <c r="F70" s="16" t="n">
        <f aca="false">IF(F58&gt;0,MIN(1,F69/F58),0)</f>
        <v>0</v>
      </c>
      <c r="G70" s="16" t="n">
        <f aca="false">IF(G58&gt;0,MIN(1,G69/G58),0)</f>
        <v>0</v>
      </c>
    </row>
    <row r="71" customFormat="false" ht="15" hidden="false" customHeight="true" outlineLevel="0" collapsed="false">
      <c r="A71" s="13" t="s">
        <v>637</v>
      </c>
      <c r="C71" s="35" t="n">
        <f aca="false">C53+C55-C69</f>
        <v>5878.78277811763</v>
      </c>
      <c r="D71" s="35" t="n">
        <f aca="false">D53+D55-D69</f>
        <v>-5224.17606501273</v>
      </c>
      <c r="E71" s="35" t="n">
        <f aca="false">E53+E55-E69</f>
        <v>-15454.248366638</v>
      </c>
      <c r="F71" s="35" t="n">
        <f aca="false">F53+F55-F69</f>
        <v>-26740.268063304</v>
      </c>
      <c r="G71" s="35" t="n">
        <f aca="false">G53+G55-G69</f>
        <v>-38799.3610489491</v>
      </c>
    </row>
    <row r="72" customFormat="false" ht="15" hidden="false" customHeight="true" outlineLevel="0" collapsed="false">
      <c r="A72" s="13" t="s">
        <v>638</v>
      </c>
      <c r="C72" s="35" t="n">
        <f aca="false">C12+C20</f>
        <v>6666.19462137297</v>
      </c>
      <c r="D72" s="35" t="n">
        <f aca="false">D12+D20</f>
        <v>7322.67</v>
      </c>
      <c r="E72" s="35" t="n">
        <f aca="false">E12+E20</f>
        <v>8299.026</v>
      </c>
      <c r="F72" s="35" t="n">
        <f aca="false">F12+F20</f>
        <v>8532.43610625</v>
      </c>
      <c r="G72" s="35" t="n">
        <f aca="false">G12+G20</f>
        <v>8227.7062453125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-505.122065012735</v>
      </c>
      <c r="E75" s="36" t="n">
        <f aca="false">E53+E72+E52+E55-E69-E51+E73+E74</f>
        <v>-10653.831366638</v>
      </c>
      <c r="F75" s="36" t="n">
        <f aca="false">F53+F72+F52+F55-F69-F51+F73+F74</f>
        <v>-21395.227482054</v>
      </c>
      <c r="G75" s="36" t="n">
        <f aca="false">G53+G72+G52+G55-G69-G51+G73+G74</f>
        <v>-33149.5906067616</v>
      </c>
    </row>
    <row r="76" customFormat="false" ht="15" hidden="false" customHeight="true" outlineLevel="0" collapsed="false">
      <c r="A76" s="10" t="s">
        <v>642</v>
      </c>
      <c r="C76" s="36" t="n">
        <f aca="false">C53+C52-(C69-C55*C70)-C51+C73+C74</f>
        <v>1333.91049871763</v>
      </c>
      <c r="D76" s="36" t="n">
        <f aca="false">D53+D52-(D69-D55*D70)-D51+D73+D74</f>
        <v>-11269.41</v>
      </c>
      <c r="E76" s="36" t="n">
        <f aca="false">E53+E52-(E69-E55*E70)-E51+E73+E74</f>
        <v>-22381.84725</v>
      </c>
      <c r="F76" s="36" t="n">
        <f aca="false">F53+F52-(F69-F55*F70)-F51+F73+F74</f>
        <v>-33090.3076875</v>
      </c>
      <c r="G76" s="36" t="n">
        <f aca="false">G53+G52-(G69-G55*G70)-G51+G73+G74</f>
        <v>-44005.0602642187</v>
      </c>
    </row>
    <row r="77" customFormat="false" ht="15" hidden="false" customHeight="true" outlineLevel="0" collapsed="false">
      <c r="A77" s="13" t="s">
        <v>643</v>
      </c>
      <c r="C77" s="16" t="n">
        <f aca="false">IFERROR(C76/C49,0)</f>
        <v>0.0245918384041449</v>
      </c>
      <c r="D77" s="16" t="n">
        <f aca="false">IFERROR(D76/D49,0)</f>
        <v>-0.138507798385015</v>
      </c>
      <c r="E77" s="16" t="n">
        <f aca="false">IFERROR(E76/E49,0)</f>
        <v>-0.215753966790802</v>
      </c>
      <c r="F77" s="16" t="n">
        <f aca="false">IFERROR(F76/F49,0)</f>
        <v>-0.271472473896206</v>
      </c>
      <c r="G77" s="16" t="n">
        <f aca="false">IFERROR(G76/G49,0)</f>
        <v>-0.320903972155953</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137159.595334478</v>
      </c>
      <c r="F80" s="35" t="n">
        <f aca="false">E85</f>
        <v>126505.76396784</v>
      </c>
      <c r="G80" s="35" t="n">
        <f aca="false">F85</f>
        <v>105110.536485786</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-505.122065012735</v>
      </c>
      <c r="E82" s="35" t="n">
        <f aca="false">E75</f>
        <v>-10653.831366638</v>
      </c>
      <c r="F82" s="35" t="n">
        <f aca="false">F75</f>
        <v>-21395.227482054</v>
      </c>
      <c r="G82" s="35" t="n">
        <f aca="false">G75</f>
        <v>-33149.5906067616</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137159.595334478</v>
      </c>
      <c r="E85" s="36" t="n">
        <f aca="false">E80+E82+E83+E84</f>
        <v>126505.76396784</v>
      </c>
      <c r="F85" s="36" t="n">
        <f aca="false">F80+F82+F83+F84</f>
        <v>105110.536485786</v>
      </c>
      <c r="G85" s="36" t="n">
        <f aca="false">G80+G82+G83+G84</f>
        <v>71960.9458790243</v>
      </c>
    </row>
    <row r="86" customFormat="false" ht="15" hidden="false" customHeight="true" outlineLevel="0" collapsed="false">
      <c r="A86" s="13" t="s">
        <v>653</v>
      </c>
      <c r="C86" s="35" t="n">
        <f aca="false">MIN(C80-C81,C85)</f>
        <v>131845</v>
      </c>
      <c r="D86" s="35" t="n">
        <f aca="false">MIN(D80-D81,D85)</f>
        <v>137159.595334478</v>
      </c>
      <c r="E86" s="35" t="n">
        <f aca="false">MIN(E80-E81,E85)</f>
        <v>126505.76396784</v>
      </c>
      <c r="F86" s="35" t="n">
        <f aca="false">MIN(F80-F81,F85)</f>
        <v>105110.536485786</v>
      </c>
      <c r="G86" s="35" t="n">
        <f aca="false">MIN(G80-G81,G85)</f>
        <v>71960.9458790243</v>
      </c>
    </row>
    <row r="87" customFormat="false" ht="15" hidden="false" customHeight="true" outlineLevel="0" collapsed="false">
      <c r="A87" s="13" t="s">
        <v>654</v>
      </c>
      <c r="C87" s="35" t="n">
        <f aca="false">C86-Inputs!$B$29</f>
        <v>126845</v>
      </c>
      <c r="D87" s="35" t="n">
        <f aca="false">D86-Inputs!$B$29</f>
        <v>132159.595334478</v>
      </c>
      <c r="E87" s="35" t="n">
        <f aca="false">E86-Inputs!$B$29</f>
        <v>121505.76396784</v>
      </c>
      <c r="F87" s="35" t="n">
        <f aca="false">F86-Inputs!$B$29</f>
        <v>100110.536485786</v>
      </c>
      <c r="G87" s="35" t="n">
        <f aca="false">G86-Inputs!$B$29</f>
        <v>66960.9458790243</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137159.595334478</v>
      </c>
      <c r="E100" s="35" t="n">
        <f aca="false">E85+SUM($C97:E97)+SUM($C98:E98)-SUM($C99:E99)</f>
        <v>126505.76396784</v>
      </c>
      <c r="F100" s="35" t="n">
        <f aca="false">F85+SUM($C97:F97)+SUM($C98:F98)-SUM($C99:F99)</f>
        <v>105110.536485786</v>
      </c>
      <c r="G100" s="35" t="n">
        <f aca="false">G85+SUM($C97:G97)+SUM($C98:G98)-SUM($C99:G99)</f>
        <v>71960.9458790243</v>
      </c>
    </row>
    <row r="101" customFormat="false" ht="15" hidden="false" customHeight="true" outlineLevel="0" collapsed="false">
      <c r="A101" s="13" t="s">
        <v>668</v>
      </c>
      <c r="C101" s="35" t="n">
        <f aca="false">MIN(C80-C81+0+C97,C100)</f>
        <v>131845</v>
      </c>
      <c r="D101" s="35" t="n">
        <f aca="false">MIN(D80-D81+SUM($C97:C97)+SUM($C98:C98)-SUM($C99:C99)+D97,D100)</f>
        <v>137159.595334478</v>
      </c>
      <c r="E101" s="35" t="n">
        <f aca="false">MIN(E80-E81+SUM($C97:D97)+SUM($C98:D98)-SUM($C99:D99)+E97,E100)</f>
        <v>126505.76396784</v>
      </c>
      <c r="F101" s="35" t="n">
        <f aca="false">MIN(F80-F81+SUM($C97:E97)+SUM($C98:E98)-SUM($C99:E99)+F97,F100)</f>
        <v>105110.536485786</v>
      </c>
      <c r="G101" s="35" t="n">
        <f aca="false">MIN(G80-G81+SUM($C97:F97)+SUM($C98:F98)-SUM($C99:F99)+G97,G100)</f>
        <v>71960.9458790243</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82827.534</v>
      </c>
      <c r="E105" s="35" t="n">
        <f aca="false">E5+E31</f>
        <v>108406.027125</v>
      </c>
      <c r="F105" s="35" t="n">
        <f aca="false">F5+F31</f>
        <v>132862.21936875</v>
      </c>
      <c r="G105" s="35" t="n">
        <f aca="false">G5+G31</f>
        <v>155640.776473828</v>
      </c>
    </row>
    <row r="106" customFormat="false" ht="15" hidden="false" customHeight="true" outlineLevel="0" collapsed="false">
      <c r="A106" s="13" t="s">
        <v>588</v>
      </c>
      <c r="C106" s="35" t="n">
        <f aca="false">C17+C35</f>
        <v>3230.55201698514</v>
      </c>
      <c r="D106" s="35" t="n">
        <f aca="false">D17+D35</f>
        <v>-7429.0764</v>
      </c>
      <c r="E106" s="35" t="n">
        <f aca="false">E17+E35</f>
        <v>-15327.67515</v>
      </c>
      <c r="F106" s="35" t="n">
        <f aca="false">F17+F35</f>
        <v>-22607.60047125</v>
      </c>
      <c r="G106" s="35" t="n">
        <f aca="false">G17+G35</f>
        <v>-29743.7027723437</v>
      </c>
    </row>
    <row r="107" customFormat="false" ht="15" hidden="false" customHeight="true" outlineLevel="0" collapsed="false">
      <c r="A107" s="13" t="s">
        <v>617</v>
      </c>
      <c r="C107" s="35" t="n">
        <f aca="false">C51+C37</f>
        <v>1627.26</v>
      </c>
      <c r="D107" s="35" t="n">
        <f aca="false">D51+D37</f>
        <v>3313.10136</v>
      </c>
      <c r="E107" s="35" t="n">
        <f aca="false">E51+E37</f>
        <v>5420.30135625</v>
      </c>
      <c r="F107" s="35" t="n">
        <f aca="false">F51+F37</f>
        <v>6643.1109684375</v>
      </c>
      <c r="G107" s="35" t="n">
        <f aca="false">G51+G37</f>
        <v>7782.03882369141</v>
      </c>
    </row>
    <row r="108" customFormat="false" ht="15" hidden="false" customHeight="true" outlineLevel="0" collapsed="false">
      <c r="A108" s="13" t="s">
        <v>618</v>
      </c>
      <c r="C108" s="33" t="n">
        <v>0</v>
      </c>
      <c r="D108" s="35" t="n">
        <f aca="false">SUMPRODUCT($D107:D107,--((4-COLUMN($D107:D107))&lt;Inputs!$B$32))/Inputs!$B$32</f>
        <v>662.620272</v>
      </c>
      <c r="E108" s="35" t="n">
        <f aca="false">SUMPRODUCT($D107:E107,--((5-COLUMN($D107:E107))&lt;Inputs!$B$32))/Inputs!$B$32</f>
        <v>1746.68054325</v>
      </c>
      <c r="F108" s="35" t="n">
        <f aca="false">SUMPRODUCT($D107:F107,--((6-COLUMN($D107:F107))&lt;Inputs!$B$32))/Inputs!$B$32</f>
        <v>3075.3027369375</v>
      </c>
      <c r="G108" s="35" t="n">
        <f aca="false">SUMPRODUCT($D107:G107,--((7-COLUMN($D107:G107))&lt;Inputs!$B$32))/Inputs!$B$32</f>
        <v>4631.71050167578</v>
      </c>
    </row>
    <row r="109" customFormat="false" ht="15" hidden="false" customHeight="true" outlineLevel="0" collapsed="false">
      <c r="A109" s="10" t="s">
        <v>619</v>
      </c>
      <c r="C109" s="36" t="n">
        <f aca="false">C106-C108</f>
        <v>3230.55201698514</v>
      </c>
      <c r="D109" s="36" t="n">
        <f aca="false">D106-D108</f>
        <v>-8091.696672</v>
      </c>
      <c r="E109" s="36" t="n">
        <f aca="false">E106-E108</f>
        <v>-17074.35569325</v>
      </c>
      <c r="F109" s="36" t="n">
        <f aca="false">F106-F108</f>
        <v>-25682.9032081875</v>
      </c>
      <c r="G109" s="36" t="n">
        <f aca="false">G106-G108</f>
        <v>-34375.4132740195</v>
      </c>
    </row>
    <row r="110" customFormat="false" ht="15" hidden="false" customHeight="true" outlineLevel="0" collapsed="false">
      <c r="A110" s="13" t="s">
        <v>620</v>
      </c>
      <c r="C110" s="16" t="n">
        <f aca="false">IFERROR(C109/C105,0)</f>
        <v>0.0595581287007327</v>
      </c>
      <c r="D110" s="16" t="n">
        <f aca="false">IFERROR(D109/D105,0)</f>
        <v>-0.0976933186493274</v>
      </c>
      <c r="E110" s="16" t="n">
        <f aca="false">IFERROR(E109/E105,0)</f>
        <v>-0.157503749063343</v>
      </c>
      <c r="F110" s="16" t="n">
        <f aca="false">IFERROR(F109/F105,0)</f>
        <v>-0.193304788450856</v>
      </c>
      <c r="G110" s="16" t="n">
        <f aca="false">IFERROR(G109/G105,0)</f>
        <v>-0.220863799659853</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3442.17068936195</v>
      </c>
      <c r="F111" s="35" t="n">
        <f aca="false">MAX(0,F136-F137)*Inputs!$B$20</f>
        <v>3217.00119393975</v>
      </c>
      <c r="G111" s="35" t="n">
        <f aca="false">MAX(0,G136-G137)*Inputs!$B$20</f>
        <v>2779.4693404523</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-4650.07873701274</v>
      </c>
      <c r="E114" s="35" t="n">
        <f aca="false">E109+E111+E112-E113</f>
        <v>-13632.185003888</v>
      </c>
      <c r="F114" s="35" t="n">
        <f aca="false">F109+F111+F112-F113</f>
        <v>-22465.9020142478</v>
      </c>
      <c r="G114" s="35" t="n">
        <f aca="false">G109+G111+G112-G113</f>
        <v>-31595.9439335672</v>
      </c>
    </row>
    <row r="115" customFormat="false" ht="15" hidden="false" customHeight="true" outlineLevel="0" collapsed="false">
      <c r="A115" s="13" t="s">
        <v>625</v>
      </c>
      <c r="C115" s="35" t="n">
        <f aca="false">C114*Inputs!$B$58</f>
        <v>4617.7799522293</v>
      </c>
      <c r="D115" s="35" t="n">
        <f aca="false">D114*Inputs!$B$58</f>
        <v>-3348.05669064917</v>
      </c>
      <c r="E115" s="35" t="n">
        <f aca="false">E114*Inputs!$B$58</f>
        <v>-9815.17320279939</v>
      </c>
      <c r="F115" s="35" t="n">
        <f aca="false">F114*Inputs!$B$58</f>
        <v>-16175.4494502584</v>
      </c>
      <c r="G115" s="35" t="n">
        <f aca="false">G114*Inputs!$B$58</f>
        <v>-22749.0796321684</v>
      </c>
    </row>
    <row r="116" customFormat="false" ht="15" hidden="false" customHeight="true" outlineLevel="0" collapsed="false">
      <c r="A116" s="13" t="s">
        <v>626</v>
      </c>
      <c r="C116" s="35" t="n">
        <f aca="false">Inputs!$B$60</f>
        <v>4200</v>
      </c>
      <c r="D116" s="35" t="n">
        <f aca="false">C118</f>
        <v>4200</v>
      </c>
      <c r="E116" s="35" t="n">
        <f aca="false">D118</f>
        <v>7548.05669064917</v>
      </c>
      <c r="F116" s="35" t="n">
        <f aca="false">E118</f>
        <v>17363.2298934486</v>
      </c>
      <c r="G116" s="35" t="n">
        <f aca="false">F118</f>
        <v>33538.6793437069</v>
      </c>
    </row>
    <row r="117" customFormat="false" ht="15" hidden="false" customHeight="true" outlineLevel="0" collapsed="false">
      <c r="A117" s="13" t="s">
        <v>627</v>
      </c>
      <c r="C117" s="35" t="n">
        <f aca="false">IF(AND(2026=2026,Inputs!$B$61=1),0,MIN(C116,MAX(0,C115)))</f>
        <v>0</v>
      </c>
      <c r="D117" s="35" t="n">
        <f aca="false">IF(AND(2027=2026,Inputs!$B$61=1),0,MIN(D116,MAX(0,D115)))</f>
        <v>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7548.05669064917</v>
      </c>
      <c r="E118" s="35" t="n">
        <f aca="false">E116-E117+MAX(0,-E115)</f>
        <v>17363.2298934486</v>
      </c>
      <c r="F118" s="35" t="n">
        <f aca="false">F116-F117+MAX(0,-F115)</f>
        <v>33538.6793437069</v>
      </c>
      <c r="G118" s="35" t="n">
        <f aca="false">G116-G117+MAX(0,-G115)</f>
        <v>56287.7589758753</v>
      </c>
    </row>
    <row r="119" customFormat="false" ht="15" hidden="false" customHeight="true" outlineLevel="0" collapsed="false">
      <c r="A119" s="13" t="s">
        <v>629</v>
      </c>
      <c r="C119" s="35" t="n">
        <f aca="false">MAX(0,C115-C117)*Inputs!$B$59</f>
        <v>277.066797133758</v>
      </c>
      <c r="D119" s="35" t="n">
        <f aca="false">MAX(0,D115-D117)*Inputs!$B$59</f>
        <v>0</v>
      </c>
      <c r="E119" s="35" t="n">
        <f aca="false">MAX(0,E115-E117)*Inputs!$B$59</f>
        <v>0</v>
      </c>
      <c r="F119" s="35" t="n">
        <f aca="false">MAX(0,F115-F117)*Inputs!$B$59</f>
        <v>0</v>
      </c>
      <c r="G119" s="35" t="n">
        <f aca="false">MAX(0,G115-G117)*Inputs!$B$59</f>
        <v>0</v>
      </c>
    </row>
    <row r="120" customFormat="false" ht="15" hidden="false" customHeight="true" outlineLevel="0" collapsed="false">
      <c r="A120" s="13" t="s">
        <v>630</v>
      </c>
      <c r="C120" s="35" t="n">
        <f aca="false">C114-C119</f>
        <v>6136.51646985139</v>
      </c>
      <c r="D120" s="35" t="n">
        <f aca="false">D114-D119</f>
        <v>-4650.07873701274</v>
      </c>
      <c r="E120" s="35" t="n">
        <f aca="false">E114-E119</f>
        <v>-13632.185003888</v>
      </c>
      <c r="F120" s="35" t="n">
        <f aca="false">F114-F119</f>
        <v>-22465.9020142478</v>
      </c>
      <c r="G120" s="35" t="n">
        <f aca="false">G114-G119</f>
        <v>-31595.9439335672</v>
      </c>
    </row>
    <row r="121" customFormat="false" ht="15" hidden="false" customHeight="true" outlineLevel="0" collapsed="false">
      <c r="A121" s="13" t="s">
        <v>631</v>
      </c>
      <c r="C121" s="35" t="n">
        <f aca="false">Inputs!$B$56</f>
        <v>8200</v>
      </c>
      <c r="D121" s="35" t="n">
        <f aca="false">C123</f>
        <v>3290.78682411889</v>
      </c>
      <c r="E121" s="35" t="n">
        <f aca="false">D123</f>
        <v>7940.86556113163</v>
      </c>
      <c r="F121" s="35" t="n">
        <f aca="false">E123</f>
        <v>21573.0505650197</v>
      </c>
      <c r="G121" s="35" t="n">
        <f aca="false">F123</f>
        <v>44038.9525792674</v>
      </c>
    </row>
    <row r="122" customFormat="false" ht="15" hidden="false" customHeight="true" outlineLevel="0" collapsed="false">
      <c r="A122" s="13" t="s">
        <v>632</v>
      </c>
      <c r="C122" s="35" t="n">
        <f aca="false">MIN(C121,Inputs!$B$57*MAX(0,C120))</f>
        <v>4909.21317588111</v>
      </c>
      <c r="D122" s="35" t="n">
        <f aca="false">MIN(D121,Inputs!$B$57*MAX(0,D120))</f>
        <v>0</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7940.86556113163</v>
      </c>
      <c r="E123" s="35" t="n">
        <f aca="false">E121-E122+MAX(0,-E120)</f>
        <v>21573.0505650197</v>
      </c>
      <c r="F123" s="35" t="n">
        <f aca="false">F121-F122+MAX(0,-F120)</f>
        <v>44038.9525792674</v>
      </c>
      <c r="G123" s="35" t="n">
        <f aca="false">G121-G122+MAX(0,-G120)</f>
        <v>75634.8965128346</v>
      </c>
    </row>
    <row r="124" customFormat="false" ht="15" hidden="false" customHeight="true" outlineLevel="0" collapsed="false">
      <c r="A124" s="13" t="s">
        <v>634</v>
      </c>
      <c r="C124" s="35" t="n">
        <f aca="false">MAX(0,C120-C122)*Inputs!$B$55</f>
        <v>257.733691733758</v>
      </c>
      <c r="D124" s="35" t="n">
        <f aca="false">MAX(0,D120-D122)*Inputs!$B$55</f>
        <v>0</v>
      </c>
      <c r="E124" s="35" t="n">
        <f aca="false">MAX(0,E120-E122)*Inputs!$B$55</f>
        <v>0</v>
      </c>
      <c r="F124" s="35" t="n">
        <f aca="false">MAX(0,F120-F122)*Inputs!$B$55</f>
        <v>0</v>
      </c>
      <c r="G124" s="35" t="n">
        <f aca="false">MAX(0,G120-G122)*Inputs!$B$55</f>
        <v>0</v>
      </c>
    </row>
    <row r="125" customFormat="false" ht="15" hidden="false" customHeight="true" outlineLevel="0" collapsed="false">
      <c r="A125" s="10" t="s">
        <v>635</v>
      </c>
      <c r="C125" s="36" t="n">
        <f aca="false">IF(Inputs!$L$105=0,MAX(0,C109+C111)*Inputs!B$66,IF(Inputs!$L$105=2,MAX(0,C114)*Inputs!$L$106,C119+C124))</f>
        <v>534.800488867516</v>
      </c>
      <c r="D125" s="36" t="n">
        <f aca="false">IF(Inputs!$L$105=0,MAX(0,D109+D111)*Inputs!C$66,IF(Inputs!$L$105=2,MAX(0,D114)*Inputs!$L$106,D119+D124))</f>
        <v>0</v>
      </c>
      <c r="E125" s="36" t="n">
        <f aca="false">IF(Inputs!$L$105=0,MAX(0,E109+E111)*Inputs!D$66,IF(Inputs!$L$105=2,MAX(0,E114)*Inputs!$L$106,E119+E124))</f>
        <v>0</v>
      </c>
      <c r="F125" s="36" t="n">
        <f aca="false">IF(Inputs!$L$105=0,MAX(0,F109+F111)*Inputs!E$66,IF(Inputs!$L$105=2,MAX(0,F114)*Inputs!$L$106,F119+F124))</f>
        <v>0</v>
      </c>
      <c r="G125" s="36" t="n">
        <f aca="false">IF(Inputs!$L$105=0,MAX(0,G109+G111)*Inputs!F$66,IF(Inputs!$L$105=2,MAX(0,G114)*Inputs!$L$106,G119+G124))</f>
        <v>0</v>
      </c>
    </row>
    <row r="126" customFormat="false" ht="15" hidden="false" customHeight="true" outlineLevel="0" collapsed="false">
      <c r="A126" s="13" t="s">
        <v>636</v>
      </c>
      <c r="C126" s="16" t="n">
        <f aca="false">IF(C114&gt;0,MIN(1,C125/C114),0)</f>
        <v>0.0833856</v>
      </c>
      <c r="D126" s="16" t="n">
        <f aca="false">IF(D114&gt;0,MIN(1,D125/D114),0)</f>
        <v>0</v>
      </c>
      <c r="E126" s="16" t="n">
        <f aca="false">IF(E114&gt;0,MIN(1,E125/E114),0)</f>
        <v>0</v>
      </c>
      <c r="F126" s="16" t="n">
        <f aca="false">IF(F114&gt;0,MIN(1,F125/F114),0)</f>
        <v>0</v>
      </c>
      <c r="G126" s="16" t="n">
        <f aca="false">IF(G114&gt;0,MIN(1,G125/G114),0)</f>
        <v>0</v>
      </c>
    </row>
    <row r="127" customFormat="false" ht="15" hidden="false" customHeight="true" outlineLevel="0" collapsed="false">
      <c r="A127" s="13" t="s">
        <v>637</v>
      </c>
      <c r="C127" s="35" t="n">
        <f aca="false">C109+C111-C125</f>
        <v>5878.78277811763</v>
      </c>
      <c r="D127" s="35" t="n">
        <f aca="false">D109+D111-D125</f>
        <v>-4650.07873701274</v>
      </c>
      <c r="E127" s="35" t="n">
        <f aca="false">E109+E111-E125</f>
        <v>-13632.185003888</v>
      </c>
      <c r="F127" s="35" t="n">
        <f aca="false">F109+F111-F125</f>
        <v>-22465.9020142478</v>
      </c>
      <c r="G127" s="35" t="n">
        <f aca="false">G109+G111-G125</f>
        <v>-31595.9439335672</v>
      </c>
    </row>
    <row r="128" customFormat="false" ht="15" hidden="false" customHeight="true" outlineLevel="0" collapsed="false">
      <c r="A128" s="13" t="s">
        <v>638</v>
      </c>
      <c r="C128" s="35" t="n">
        <f aca="false">C12+C20</f>
        <v>6666.19462137297</v>
      </c>
      <c r="D128" s="35" t="n">
        <f aca="false">D12+D20</f>
        <v>7322.67</v>
      </c>
      <c r="E128" s="35" t="n">
        <f aca="false">E12+E20</f>
        <v>8299.026</v>
      </c>
      <c r="F128" s="35" t="n">
        <f aca="false">F12+F20</f>
        <v>8532.43610625</v>
      </c>
      <c r="G128" s="35" t="n">
        <f aca="false">G12+G20</f>
        <v>8227.7062453125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22.110174987266</v>
      </c>
      <c r="E131" s="36" t="n">
        <f aca="false">E109+E128+E108+E111-E125-E107+E129+E130</f>
        <v>-9006.77981688805</v>
      </c>
      <c r="F131" s="36" t="n">
        <f aca="false">F109+F128+F108+F111-F125-F107+F129+F130</f>
        <v>-17501.2741394978</v>
      </c>
      <c r="G131" s="36" t="n">
        <f aca="false">G109+G128+G108+G111-G125-G107+G129+G130</f>
        <v>-26518.5660102703</v>
      </c>
    </row>
    <row r="132" customFormat="false" ht="15" hidden="false" customHeight="true" outlineLevel="0" collapsed="false">
      <c r="A132" s="10" t="s">
        <v>642</v>
      </c>
      <c r="C132" s="36" t="n">
        <f aca="false">C109+C108-(C125-C111*C126)-C107+C129+C130</f>
        <v>1333.91049871763</v>
      </c>
      <c r="D132" s="36" t="n">
        <f aca="false">D109+D108-(D125-D111*D126)-D107+D129+D130</f>
        <v>-10742.17776</v>
      </c>
      <c r="E132" s="36" t="n">
        <f aca="false">E109+E108-(E125-E111*E126)-E107+E129+E130</f>
        <v>-20747.97650625</v>
      </c>
      <c r="F132" s="36" t="n">
        <f aca="false">F109+F108-(F125-F111*F126)-F107+F129+F130</f>
        <v>-29250.7114396875</v>
      </c>
      <c r="G132" s="36" t="n">
        <f aca="false">G109+G108-(G125-G111*G126)-G107+G129+G130</f>
        <v>-37525.7415960351</v>
      </c>
    </row>
    <row r="133" customFormat="false" ht="15" hidden="false" customHeight="true" outlineLevel="0" collapsed="false">
      <c r="A133" s="13" t="s">
        <v>643</v>
      </c>
      <c r="C133" s="16" t="n">
        <f aca="false">IFERROR(C132/C105,0)</f>
        <v>0.0245918384041449</v>
      </c>
      <c r="D133" s="16" t="n">
        <f aca="false">IFERROR(D132/D105,0)</f>
        <v>-0.129693318649327</v>
      </c>
      <c r="E133" s="16" t="n">
        <f aca="false">IFERROR(E132/E105,0)</f>
        <v>-0.191391355780671</v>
      </c>
      <c r="F133" s="16" t="n">
        <f aca="false">IFERROR(F132/F105,0)</f>
        <v>-0.220158232932299</v>
      </c>
      <c r="G133" s="16" t="n">
        <f aca="false">IFERROR(G132/G105,0)</f>
        <v>-0.241104821282778</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137686.827574478</v>
      </c>
      <c r="F136" s="35" t="n">
        <f aca="false">E141</f>
        <v>128680.04775759</v>
      </c>
      <c r="G136" s="35" t="n">
        <f aca="false">F141</f>
        <v>111178.773618092</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22.110174987266</v>
      </c>
      <c r="E138" s="35" t="n">
        <f aca="false">E131</f>
        <v>-9006.77981688805</v>
      </c>
      <c r="F138" s="35" t="n">
        <f aca="false">F131</f>
        <v>-17501.2741394978</v>
      </c>
      <c r="G138" s="35" t="n">
        <f aca="false">G131</f>
        <v>-26518.5660102703</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137686.827574478</v>
      </c>
      <c r="E141" s="36" t="n">
        <f aca="false">E136+E138+E139+E140</f>
        <v>128680.04775759</v>
      </c>
      <c r="F141" s="36" t="n">
        <f aca="false">F136+F138+F139+F140</f>
        <v>111178.773618092</v>
      </c>
      <c r="G141" s="36" t="n">
        <f aca="false">G136+G138+G139+G140</f>
        <v>84660.2076078217</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128680.04775759</v>
      </c>
      <c r="F142" s="35" t="n">
        <f aca="false">MIN(F136-F137,F141)</f>
        <v>111178.773618092</v>
      </c>
      <c r="G142" s="35" t="n">
        <f aca="false">MIN(G136-G137,G141)</f>
        <v>84660.2076078217</v>
      </c>
    </row>
    <row r="143" customFormat="false" ht="15" hidden="false" customHeight="true" outlineLevel="0" collapsed="false">
      <c r="A143" s="13" t="s">
        <v>654</v>
      </c>
      <c r="C143" s="35" t="n">
        <f aca="false">C142-Inputs!$B$29</f>
        <v>126845</v>
      </c>
      <c r="D143" s="35" t="n">
        <f aca="false">D142-Inputs!$B$29</f>
        <v>132664.717399491</v>
      </c>
      <c r="E143" s="35" t="n">
        <f aca="false">E142-Inputs!$B$29</f>
        <v>123680.04775759</v>
      </c>
      <c r="F143" s="35" t="n">
        <f aca="false">F142-Inputs!$B$29</f>
        <v>106178.773618092</v>
      </c>
      <c r="G143" s="35" t="n">
        <f aca="false">G142-Inputs!$B$29</f>
        <v>79660.2076078217</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137686.827574478</v>
      </c>
      <c r="E156" s="35" t="n">
        <f aca="false">E141+SUM($C153:E153)+SUM($C154:E154)-SUM($C155:E155)</f>
        <v>128680.04775759</v>
      </c>
      <c r="F156" s="35" t="n">
        <f aca="false">F141+SUM($C153:F153)+SUM($C154:F154)-SUM($C155:F155)</f>
        <v>111178.773618092</v>
      </c>
      <c r="G156" s="35" t="n">
        <f aca="false">G141+SUM($C153:G153)+SUM($C154:G154)-SUM($C155:G155)</f>
        <v>84660.2076078217</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128680.04775759</v>
      </c>
      <c r="F157" s="35" t="n">
        <f aca="false">MIN(F136-F137+SUM($C153:E153)+SUM($C154:E154)-SUM($C155:E155)+F153,F156)</f>
        <v>111178.773618092</v>
      </c>
      <c r="G157" s="35" t="n">
        <f aca="false">MIN(G136-G137+SUM($C153:F153)+SUM($C154:F154)-SUM($C155:F155)+G153,G156)</f>
        <v>84660.2076078217</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Inputs!$B$19+Inputs!$L$104</f>
        <v>0.14</v>
      </c>
      <c r="G162" s="16" t="n">
        <f aca="false">Inputs!$B$19+Inputs!$L$104</f>
        <v>0.14</v>
      </c>
    </row>
    <row r="163" customFormat="false" ht="15" hidden="false" customHeight="true" outlineLevel="0" collapsed="false">
      <c r="A163" s="13" t="s">
        <v>673</v>
      </c>
      <c r="F163" s="35" t="n">
        <f aca="false">G53*(1-G70)</f>
        <v>-41427.1244610937</v>
      </c>
      <c r="G163" s="35" t="n">
        <f aca="false">G109*(1-G126)</f>
        <v>-34375.4132740195</v>
      </c>
    </row>
    <row r="164" customFormat="false" ht="15" hidden="false" customHeight="true" outlineLevel="0" collapsed="false">
      <c r="A164" s="13" t="s">
        <v>674</v>
      </c>
      <c r="F164" s="54" t="n">
        <f aca="false">Inputs!$L$102</f>
        <v>22.5</v>
      </c>
      <c r="G164" s="54" t="n">
        <f aca="false">Inputs!$L$102</f>
        <v>22.5</v>
      </c>
    </row>
    <row r="165" customFormat="false" ht="15" hidden="false" customHeight="true" outlineLevel="0" collapsed="false">
      <c r="A165" s="13" t="s">
        <v>675</v>
      </c>
      <c r="F165" s="35" t="n">
        <f aca="false">F163*F164</f>
        <v>-932110.300374609</v>
      </c>
      <c r="G165" s="35" t="n">
        <f aca="false">G163*G164</f>
        <v>-773446.798665439</v>
      </c>
    </row>
    <row r="166" customFormat="false" ht="15" hidden="false" customHeight="true" outlineLevel="0" collapsed="false">
      <c r="A166" s="13" t="s">
        <v>676</v>
      </c>
      <c r="F166" s="35" t="n">
        <f aca="false">F165*$G$21</f>
        <v>-551884.125185409</v>
      </c>
      <c r="G166" s="35" t="n">
        <f aca="false">G165*$G$21</f>
        <v>-457942.595084918</v>
      </c>
    </row>
    <row r="167" customFormat="false" ht="15" hidden="false" customHeight="true" outlineLevel="0" collapsed="false">
      <c r="A167" s="13" t="s">
        <v>677</v>
      </c>
      <c r="F167" s="35" t="n">
        <f aca="false">SUMPRODUCT(D76:G76,$D$21:$G$21)-F162*SUMPRODUCT(D81:G81,$D$21:$G$21)</f>
        <v>-75497.0954928319</v>
      </c>
      <c r="G167" s="35" t="n">
        <f aca="false">SUMPRODUCT(D132:G132,$D$21:$G$21)-G162*SUMPRODUCT(D137:G137,$D$21:$G$21)</f>
        <v>-67349.5056935285</v>
      </c>
    </row>
    <row r="168" customFormat="false" ht="15" hidden="false" customHeight="true" outlineLevel="0" collapsed="false">
      <c r="A168" s="13" t="s">
        <v>678</v>
      </c>
      <c r="F168" s="35" t="n">
        <f aca="false">F166+F167</f>
        <v>-627381.220678241</v>
      </c>
      <c r="G168" s="35" t="n">
        <f aca="false">G166+G167</f>
        <v>-525292.100778447</v>
      </c>
    </row>
    <row r="169" customFormat="false" ht="15" hidden="false" customHeight="true" outlineLevel="0" collapsed="false">
      <c r="A169" s="13" t="s">
        <v>679</v>
      </c>
      <c r="F169" s="35" t="n">
        <f aca="false">(G76-G74)*Inputs!$L$103*$G$21</f>
        <v>-547145.094025541</v>
      </c>
      <c r="G169" s="35" t="n">
        <f aca="false">(G132-G130)*Inputs!$L$103*$G$21</f>
        <v>-466583.281346753</v>
      </c>
    </row>
    <row r="170" customFormat="false" ht="15" hidden="false" customHeight="true" outlineLevel="0" collapsed="false">
      <c r="A170" s="13" t="s">
        <v>680</v>
      </c>
      <c r="F170" s="35" t="n">
        <f aca="false">F167+F169</f>
        <v>-622642.189518373</v>
      </c>
      <c r="G170" s="35" t="n">
        <f aca="false">G167+G169</f>
        <v>-533932.787040282</v>
      </c>
    </row>
    <row r="171" customFormat="false" ht="15" hidden="false" customHeight="true" outlineLevel="0" collapsed="false">
      <c r="A171" s="13" t="s">
        <v>681</v>
      </c>
      <c r="F171" s="35" t="n">
        <f aca="false">F168*Inputs!$B$21+F170*(1-Inputs!$B$21)</f>
        <v>-625011.705098307</v>
      </c>
      <c r="G171" s="35" t="n">
        <f aca="false">G168*Inputs!$B$21+G170*(1-Inputs!$B$21)</f>
        <v>-529612.443909364</v>
      </c>
    </row>
    <row r="172" customFormat="false" ht="15" hidden="false" customHeight="true" outlineLevel="0" collapsed="false">
      <c r="A172" s="13" t="s">
        <v>682</v>
      </c>
      <c r="F172" s="16" t="n">
        <f aca="false">IFERROR(F166/F168,0)</f>
        <v>0.879663125059411</v>
      </c>
      <c r="G172" s="16" t="n">
        <f aca="false">IFERROR(G166/G168,0)</f>
        <v>0.871786562954742</v>
      </c>
    </row>
    <row r="173" customFormat="false" ht="15" hidden="false" customHeight="true" outlineLevel="0" collapsed="false">
      <c r="A173" s="13" t="s">
        <v>683</v>
      </c>
      <c r="F173" s="16" t="n">
        <f aca="false">IFERROR(F169/F170,0)</f>
        <v>0.878747221496137</v>
      </c>
      <c r="G173" s="16" t="n">
        <f aca="false">IFERROR(G169/G170,0)</f>
        <v>0.873861453485816</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-487346.987698816</v>
      </c>
      <c r="G176" s="34" t="n">
        <f aca="false">G171+G174+G175</f>
        <v>-391947.726509874</v>
      </c>
    </row>
    <row r="177" customFormat="false" ht="15" hidden="false" customHeight="true" outlineLevel="0" collapsed="false">
      <c r="A177" s="13" t="s">
        <v>687</v>
      </c>
      <c r="F177" s="35" t="str">
        <f aca="false">IF(F182="OK",F176,"unresolved")</f>
        <v>unresolved</v>
      </c>
      <c r="G177" s="35" t="str">
        <f aca="false">IF(G182="OK",G176,"unresolved")</f>
        <v>unresolved</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str">
        <f aca="false">IF(F182="OK",F176/F178,"n/a")</f>
        <v>n/a</v>
      </c>
      <c r="G179" s="25" t="str">
        <f aca="false">IF(G182="OK",G176/G178,"n/a")</f>
        <v>n/a</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n">
        <f aca="false">IF(G75&lt;0,MAX(0,G85)/-G75,"cash-positive")</f>
        <v>2.17079440686505</v>
      </c>
      <c r="G181" s="58" t="n">
        <f aca="false">IF(G131&lt;0,MAX(0,G141)/-G131,"cash-positive")</f>
        <v>3.19248814491077</v>
      </c>
    </row>
    <row r="182" customFormat="false" ht="15" hidden="false" customHeight="true" outlineLevel="0" collapsed="false">
      <c r="A182" s="13" t="s">
        <v>691</v>
      </c>
      <c r="F182" s="56" t="str">
        <f aca="false">IF(OR(F163&lt;=0,G76-G74&lt;=0),"Not meaningful: 2030 earnings or cash flow negative",IF(F176&lt;=0,"Not meaningful: equity value at or below zero","OK"))</f>
        <v>Not meaningful: 2030 earnings or cash flow negative</v>
      </c>
      <c r="G182" s="56" t="str">
        <f aca="false">IF(OR(G163&lt;=0,G132-G130&lt;=0),"Not meaningful: 2030 earnings or cash flow negative",IF(G176&lt;=0,"Not meaningful: equity value at or below zero","OK"))</f>
        <v>Not meaningful: 2030 earnings or cash flow negative</v>
      </c>
    </row>
    <row r="183" customFormat="false" ht="15" hidden="false" customHeight="true" outlineLevel="0" collapsed="false">
      <c r="A183" s="10" t="s">
        <v>692</v>
      </c>
      <c r="F183" s="29" t="str">
        <f aca="false">IF(F182&lt;&gt;"OK",F182,IF(F180&gt;0,"Raise needed by 2030",IF(ISNUMBER(F181),"Cash-negative in 2030; runway "&amp;TEXT(F181,"0.0")&amp;" yrs","No raise needed")))</f>
        <v>Not meaningful: 2030 earnings or cash flow negative</v>
      </c>
      <c r="G183" s="29" t="str">
        <f aca="false">IF(G182&lt;&gt;"OK",G182,IF(G180&gt;0,"Raise needed by 2030",IF(ISNUMBER(G181),"Cash-negative in 2030; runway "&amp;TEXT(G181,"0.0")&amp;" yrs","No raise needed")))</f>
        <v>Not meaningful: 2030 earnings or cash flow negative</v>
      </c>
    </row>
    <row r="184" customFormat="false" ht="15" hidden="false" customHeight="true" outlineLevel="0" collapsed="false">
      <c r="A184" s="13" t="s">
        <v>693</v>
      </c>
      <c r="F184" s="25" t="str">
        <f aca="false">IF(NOT(ISNUMBER(F179)),"unresolved",IF(F180=0,F179,(F176+F180/(1+F162)^IF(ISNUMBER(G93),MAX(0,G93-2027),0))/(F178+(F180/(1-Inputs!$B$31))/(F179*(1+F162)^IF(ISNUMBER(G93),MAX(0,G93-2027),0)*(1-0)))))</f>
        <v>unresolved</v>
      </c>
      <c r="G184" s="25" t="str">
        <f aca="false">IF(NOT(ISNUMBER(G179)),"unresolved",IF(G180=0,G179,(G176+G180/(1+G162)^IF(ISNUMBER(G149),MAX(0,G149-2027),0))/(G178+(G180/(1-Inputs!$B$31))/(G179*(1+G162)^IF(ISNUMBER(G149),MAX(0,G149-2027),0)*(1-0)))))</f>
        <v>unresolved</v>
      </c>
    </row>
    <row r="185" customFormat="false" ht="15" hidden="false" customHeight="true" outlineLevel="0" collapsed="false">
      <c r="A185" s="13" t="s">
        <v>694</v>
      </c>
      <c r="F185" s="25" t="str">
        <f aca="false">IF(NOT(ISNUMBER(F179)),"unresolved",IF(F180=0,F179,(F176+F180/(1+F162)^IF(ISNUMBER(G93),MAX(0,G93-2027),0))/(F178+(F180/(1-Inputs!$B$31))/(F179*(1+F162)^IF(ISNUMBER(G93),MAX(0,G93-2027),0)*(1-Inputs!$B$30)))))</f>
        <v>unresolved</v>
      </c>
      <c r="G185" s="25" t="str">
        <f aca="false">IF(NOT(ISNUMBER(G179)),"unresolved",IF(G180=0,G179,(G176+G180/(1+G162)^IF(ISNUMBER(G149),MAX(0,G149-2027),0))/(G178+(G180/(1-Inputs!$B$31))/(G179*(1+G162)^IF(ISNUMBER(G149),MAX(0,G149-2027),0)*(1-Inputs!$B$30)))))</f>
        <v>unresolved</v>
      </c>
    </row>
    <row r="186" customFormat="false" ht="15" hidden="false" customHeight="true" outlineLevel="0" collapsed="false">
      <c r="A186" s="13" t="s">
        <v>695</v>
      </c>
      <c r="F186" s="25" t="str">
        <f aca="false">IF(NOT(ISNUMBER(F179)),"unresolved",IF(F180=0,F179,(F176+F180/(1+F162)^IF(ISNUMBER(G93),MAX(0,G93-2027),0))/(F178+(F180/(1-Inputs!$B$31))/(F179*(1+F162)^IF(ISNUMBER(G93),MAX(0,G93-2027),0)*(1-0.3)))))</f>
        <v>unresolved</v>
      </c>
      <c r="G186" s="25" t="str">
        <f aca="false">IF(NOT(ISNUMBER(G179)),"unresolved",IF(G180=0,G179,(G176+G180/(1+G162)^IF(ISNUMBER(G149),MAX(0,G149-2027),0))/(G178+(G180/(1-Inputs!$B$31))/(G179*(1+G162)^IF(ISNUMBER(G149),MAX(0,G149-2027),0)*(1-0.3)))))</f>
        <v>unresolved</v>
      </c>
    </row>
    <row r="187" customFormat="false" ht="15" hidden="false" customHeight="true" outlineLevel="0" collapsed="false">
      <c r="A187" s="13" t="s">
        <v>696</v>
      </c>
      <c r="F187" s="25" t="str">
        <f aca="false">F185</f>
        <v>unresolved</v>
      </c>
      <c r="G187" s="25" t="str">
        <f aca="false">G185</f>
        <v>unresolved</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str">
        <f aca="false">IF(ISNUMBER(F187),F187/(1+Inputs!$B$25)^F188,"unresolved")</f>
        <v>unresolved</v>
      </c>
      <c r="G189" s="12" t="str">
        <f aca="false">IF(ISNUMBER(G187),G187/(1+Inputs!$B$25)^G188,"unresolved")</f>
        <v>unresolved</v>
      </c>
    </row>
    <row r="190" customFormat="false" ht="15" hidden="false" customHeight="true" outlineLevel="0" collapsed="false">
      <c r="A190" s="13" t="s">
        <v>699</v>
      </c>
      <c r="F190" s="25" t="str">
        <f aca="false">IF(F180=0,F189,"unresolved")</f>
        <v>unresolved</v>
      </c>
      <c r="G190" s="25" t="str">
        <f aca="false">IF(G180=0,G189,"unresolved")</f>
        <v>unresolved</v>
      </c>
    </row>
    <row r="191" customFormat="false" ht="15" hidden="false" customHeight="true" outlineLevel="0" collapsed="false">
      <c r="A191" s="13" t="s">
        <v>700</v>
      </c>
      <c r="F191" s="35" t="str">
        <f aca="false">IF(ISNUMBER(F179),F176+F180/(1+F162)^IF(ISNUMBER(G93),MAX(0,G93-2027),0),"unresolved")</f>
        <v>unresolved</v>
      </c>
      <c r="G191" s="35" t="str">
        <f aca="false">IF(ISNUMBER(G179),G176+G180/(1+G162)^IF(ISNUMBER(G149),MAX(0,G149-2027),0),"unresolved")</f>
        <v>unresolved</v>
      </c>
    </row>
    <row r="192" customFormat="false" ht="15" hidden="false" customHeight="true" outlineLevel="0" collapsed="false">
      <c r="A192" s="13" t="s">
        <v>701</v>
      </c>
      <c r="F192" s="28" t="str">
        <f aca="false">IFERROR(F191/D49,"n/a")</f>
        <v>n/a</v>
      </c>
      <c r="G192" s="28" t="str">
        <f aca="false">IFERROR(G191/D105,"n/a")</f>
        <v>n/a</v>
      </c>
    </row>
    <row r="193" customFormat="false" ht="15" hidden="false" customHeight="true" outlineLevel="0" collapsed="false">
      <c r="A193" s="13" t="s">
        <v>702</v>
      </c>
      <c r="F193" s="25" t="n">
        <f aca="false">(F168+F174)/F178</f>
        <v>-27.3019379380144</v>
      </c>
      <c r="G193" s="25" t="n">
        <f aca="false">(G168+G174)/G178</f>
        <v>-21.6104188713919</v>
      </c>
    </row>
    <row r="194" customFormat="false" ht="15" hidden="false" customHeight="true" outlineLevel="0" collapsed="false">
      <c r="A194" s="13" t="s">
        <v>703</v>
      </c>
      <c r="F194" s="25" t="n">
        <f aca="false">(F170+F174)/F178</f>
        <v>-27.0377346004777</v>
      </c>
      <c r="G194" s="25" t="n">
        <f aca="false">(G170+G174)/G178</f>
        <v>-22.0921414159315</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716</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Historicals!F35+(Inputs!$B$5+Inputs!$M$75)</f>
        <v>54242</v>
      </c>
      <c r="D5" s="35" t="n">
        <f aca="false">C5*(1+Inputs!$M$77)</f>
        <v>108484</v>
      </c>
      <c r="E5" s="35" t="n">
        <f aca="false">D5*(1+Inputs!$M$78)</f>
        <v>168150.2</v>
      </c>
      <c r="F5" s="35" t="n">
        <f aca="false">E5*(1+Inputs!$M$79)</f>
        <v>227002.77</v>
      </c>
      <c r="G5" s="35" t="n">
        <f aca="false">F5*(1+Inputs!$M$80)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Historicals!F51+(Inputs!$B$5+Inputs!$M$75)*Historicals!F51/Historicals!F35</f>
        <v>10731.163207663</v>
      </c>
      <c r="D7" s="35" t="n">
        <f aca="false">D5*Inputs!$M$76</f>
        <v>21696.8</v>
      </c>
      <c r="E7" s="35" t="n">
        <f aca="false">E5*Inputs!$M$76</f>
        <v>33630.04</v>
      </c>
      <c r="F7" s="35" t="n">
        <f aca="false">F5*Inputs!$M$76</f>
        <v>45400.554</v>
      </c>
      <c r="G7" s="35" t="n">
        <f aca="false">G5*Inputs!$M$76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Historicals!F36+Historicals!H6+Inputs!$M$75*Inputs!$M$81</f>
        <v>28258</v>
      </c>
      <c r="D9" s="35" t="n">
        <f aca="false">(C9-Inputs!$M$113)*(1+Inputs!$M$82)</f>
        <v>48038.6</v>
      </c>
      <c r="E9" s="35" t="n">
        <f aca="false">D9*(1+Inputs!$M$83)</f>
        <v>69655.97</v>
      </c>
      <c r="F9" s="35" t="n">
        <f aca="false">E9*(1+Inputs!$M$84)</f>
        <v>90552.761</v>
      </c>
      <c r="G9" s="35" t="n">
        <f aca="false">F9*(1+Inputs!$M$85)</f>
        <v>108663.3132</v>
      </c>
    </row>
    <row r="10" customFormat="false" ht="15" hidden="false" customHeight="true" outlineLevel="0" collapsed="false">
      <c r="A10" s="13" t="s">
        <v>219</v>
      </c>
      <c r="B10" s="41" t="n">
        <f aca="false">Historicals!D36</f>
        <v>7326</v>
      </c>
      <c r="C10" s="35" t="n">
        <f aca="false">Historicals!F36+Historicals!H6+MAX(Inputs!$M$75*Inputs!$M$81,Inputs!$M$108*C22)</f>
        <v>28258</v>
      </c>
      <c r="D10" s="35" t="n">
        <f aca="false">MAX(D9,Inputs!$M$108*D22)</f>
        <v>48038.6</v>
      </c>
      <c r="E10" s="35" t="n">
        <f aca="false">MAX(E9,Inputs!$M$108*E22)</f>
        <v>69655.97</v>
      </c>
      <c r="F10" s="35" t="n">
        <f aca="false">MAX(F9,Inputs!$M$108*F22)</f>
        <v>90552.761</v>
      </c>
      <c r="G10" s="35" t="n">
        <f aca="false">MAX(G9,Inputs!$M$108*G22)</f>
        <v>108663.3132</v>
      </c>
    </row>
    <row r="11" customFormat="false" ht="15" hidden="false" customHeight="true" outlineLevel="0" collapsed="false">
      <c r="A11" s="13" t="s">
        <v>220</v>
      </c>
      <c r="B11" s="41" t="n">
        <f aca="false">Historicals!D37</f>
        <v>1839</v>
      </c>
      <c r="C11" s="35" t="n">
        <f aca="false">Historicals!F37+Historicals!H7+Inputs!$M$75*Historicals!H24</f>
        <v>6982.0728945506</v>
      </c>
      <c r="D11" s="35" t="n">
        <f aca="false">D5*Inputs!$M$86</f>
        <v>15187.76</v>
      </c>
      <c r="E11" s="35" t="n">
        <f aca="false">E5*Inputs!$M$87</f>
        <v>21859.526</v>
      </c>
      <c r="F11" s="35" t="n">
        <f aca="false">F5*Inputs!$M$88</f>
        <v>27240.3324</v>
      </c>
      <c r="G11" s="35" t="n">
        <f aca="false">G5*Inputs!$M$89</f>
        <v>31212.880875</v>
      </c>
    </row>
    <row r="12" customFormat="false" ht="15" hidden="false" customHeight="true" outlineLevel="0" collapsed="false">
      <c r="A12" s="13" t="s">
        <v>584</v>
      </c>
      <c r="B12" s="41" t="n">
        <f aca="false">Historicals!D49</f>
        <v>1158</v>
      </c>
      <c r="C12" s="35" t="n">
        <f aca="false">Historicals!F49+Historicals!H19+Inputs!$M$75*Historicals!H29</f>
        <v>4580.19462137297</v>
      </c>
      <c r="D12" s="35" t="n">
        <f aca="false">D5*Inputs!$M$90</f>
        <v>9763.56</v>
      </c>
      <c r="E12" s="35" t="n">
        <f aca="false">E5*Inputs!$M$91</f>
        <v>13452.016</v>
      </c>
      <c r="F12" s="35" t="n">
        <f aca="false">F5*Inputs!$M$92</f>
        <v>15890.1939</v>
      </c>
      <c r="G12" s="35" t="n">
        <f aca="false">G5*Inputs!$M$93</f>
        <v>17025.20775</v>
      </c>
    </row>
    <row r="13" customFormat="false" ht="15" hidden="false" customHeight="true" outlineLevel="0" collapsed="false">
      <c r="A13" s="13" t="s">
        <v>585</v>
      </c>
      <c r="B13" s="41" t="n">
        <f aca="false">Historicals!D39</f>
        <v>568</v>
      </c>
      <c r="C13" s="35" t="n">
        <f aca="false">Historicals!F39+Historicals!H9+Inputs!$M$75*Historicals!H25</f>
        <v>8453.09766454352</v>
      </c>
      <c r="D13" s="35" t="n">
        <f aca="false">D5*Inputs!$M$94</f>
        <v>18442.28</v>
      </c>
      <c r="E13" s="35" t="n">
        <f aca="false">E5*Inputs!$M$95</f>
        <v>26904.032</v>
      </c>
      <c r="F13" s="35" t="n">
        <f aca="false">F5*Inputs!$M$96</f>
        <v>34050.4155</v>
      </c>
      <c r="G13" s="35" t="n">
        <f aca="false">G5*Inputs!$M$97</f>
        <v>42563.019375</v>
      </c>
    </row>
    <row r="14" customFormat="false" ht="15" hidden="false" customHeight="true" outlineLevel="0" collapsed="false">
      <c r="A14" s="13" t="s">
        <v>586</v>
      </c>
      <c r="B14" s="41" t="n">
        <f aca="false">Historicals!D40</f>
        <v>1412</v>
      </c>
      <c r="C14" s="35" t="n">
        <f aca="false">Historicals!F40+Historicals!H10-Inputs!$B$37+Inputs!$M$75*(Historicals!H10-Inputs!$B$37)/Historicals!H5</f>
        <v>5358.27742392074</v>
      </c>
      <c r="D14" s="35" t="n">
        <f aca="false">D5*Inputs!$M$98</f>
        <v>8678.72</v>
      </c>
      <c r="E14" s="35" t="n">
        <f aca="false">E5*Inputs!$M$99</f>
        <v>11770.514</v>
      </c>
      <c r="F14" s="35" t="n">
        <f aca="false">F5*Inputs!$M$100</f>
        <v>13620.1662</v>
      </c>
      <c r="G14" s="35" t="n">
        <f aca="false">G5*Inputs!$M$101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1/(1+Inputs!$B$19+Inputs!$M$104)^1</f>
        <v>0.892857142857143</v>
      </c>
      <c r="E21" s="53" t="n">
        <f aca="false">1/(1+Inputs!$B$19+Inputs!$M$104)^2</f>
        <v>0.79719387755102</v>
      </c>
      <c r="F21" s="53" t="n">
        <f aca="false">1/(1+Inputs!$B$19+Inputs!$M$104)^3</f>
        <v>0.711780247813411</v>
      </c>
      <c r="G21" s="53" t="n">
        <f aca="false">1/(1+Inputs!$B$19+Inputs!$M$104)^4</f>
        <v>0.635518078404831</v>
      </c>
    </row>
    <row r="22" customFormat="false" ht="15" hidden="false" customHeight="true" outlineLevel="0" collapsed="false">
      <c r="A22" s="13" t="s">
        <v>593</v>
      </c>
      <c r="C22" s="35" t="n">
        <f aca="false">Inputs!B$69+Inputs!$B$47*Inputs!$B$46</f>
        <v>11231</v>
      </c>
      <c r="D22" s="35" t="n">
        <f aca="false">Inputs!C$69+Inputs!$B$47*(1-Inputs!$B$46)+Inputs!$B$70*Inputs!$M$109</f>
        <v>97550</v>
      </c>
      <c r="E22" s="35" t="n">
        <f aca="false">Inputs!D$69+Inputs!$B$70*Inputs!$M$110</f>
        <v>107338.25</v>
      </c>
      <c r="F22" s="35" t="n">
        <f aca="false">Inputs!E$69+Inputs!$B$70*Inputs!$M$111</f>
        <v>117031.375</v>
      </c>
      <c r="G22" s="35" t="n">
        <f aca="false">Inputs!F$69+Inputs!$B$70*Inputs!$M$112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Inputs!$M$107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3421.31663505728</v>
      </c>
      <c r="E55" s="35" t="n">
        <f aca="false">MAX(0,E80-E81)*Inputs!$B$20</f>
        <v>3987.24760659966</v>
      </c>
      <c r="F55" s="35" t="n">
        <f aca="false">MAX(0,F80-F81)*Inputs!$B$20</f>
        <v>4955.20573083001</v>
      </c>
      <c r="G55" s="35" t="n">
        <f aca="false">MAX(0,G80-G81)*Inputs!$B$20</f>
        <v>6407.2714122139</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20690.0846350573</v>
      </c>
      <c r="E58" s="35" t="n">
        <f aca="false">E53+E55+E56-E57</f>
        <v>39398.0316065997</v>
      </c>
      <c r="F58" s="35" t="n">
        <f aca="false">F53+F55+F56-F57</f>
        <v>61674.89893083</v>
      </c>
      <c r="G58" s="35" t="n">
        <f aca="false">G53+G55+G56-G57</f>
        <v>83039.3763872139</v>
      </c>
    </row>
    <row r="59" customFormat="false" ht="15" hidden="false" customHeight="true" outlineLevel="0" collapsed="false">
      <c r="A59" s="13" t="s">
        <v>625</v>
      </c>
      <c r="C59" s="35" t="n">
        <f aca="false">C58*Inputs!$B$58</f>
        <v>4617.7799522293</v>
      </c>
      <c r="D59" s="35" t="n">
        <f aca="false">D58*Inputs!$B$58</f>
        <v>14896.8609372412</v>
      </c>
      <c r="E59" s="35" t="n">
        <f aca="false">E58*Inputs!$B$58</f>
        <v>28366.5827567518</v>
      </c>
      <c r="F59" s="35" t="n">
        <f aca="false">F58*Inputs!$B$58</f>
        <v>44405.9272301976</v>
      </c>
      <c r="G59" s="35" t="n">
        <f aca="false">G58*Inputs!$B$58</f>
        <v>59788.350998794</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641.811656234475</v>
      </c>
      <c r="E63" s="35" t="n">
        <f aca="false">MAX(0,E59-E61)*Inputs!$B$59</f>
        <v>1701.99496540511</v>
      </c>
      <c r="F63" s="35" t="n">
        <f aca="false">MAX(0,F59-F61)*Inputs!$B$59</f>
        <v>2664.35563381186</v>
      </c>
      <c r="G63" s="35" t="n">
        <f aca="false">MAX(0,G59-G61)*Inputs!$B$59</f>
        <v>3587.30105992764</v>
      </c>
    </row>
    <row r="64" customFormat="false" ht="15" hidden="false" customHeight="true" outlineLevel="0" collapsed="false">
      <c r="A64" s="13" t="s">
        <v>630</v>
      </c>
      <c r="C64" s="35" t="n">
        <f aca="false">C58-C63</f>
        <v>6136.51646985139</v>
      </c>
      <c r="D64" s="35" t="n">
        <f aca="false">D58-D63</f>
        <v>20048.2729788228</v>
      </c>
      <c r="E64" s="35" t="n">
        <f aca="false">E58-E63</f>
        <v>37696.0366411946</v>
      </c>
      <c r="F64" s="35" t="n">
        <f aca="false">F58-F63</f>
        <v>59010.5432970181</v>
      </c>
      <c r="G64" s="35" t="n">
        <f aca="false">G58-G63</f>
        <v>79452.0753272863</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3519.07209248782</v>
      </c>
      <c r="E68" s="35" t="n">
        <f aca="false">MAX(0,E64-E66)*Inputs!$B$55</f>
        <v>7916.16769465086</v>
      </c>
      <c r="F68" s="35" t="n">
        <f aca="false">MAX(0,F64-F66)*Inputs!$B$55</f>
        <v>12392.2140923738</v>
      </c>
      <c r="G68" s="35" t="n">
        <f aca="false">MAX(0,G64-G66)*Inputs!$B$55</f>
        <v>16684.9358187301</v>
      </c>
    </row>
    <row r="69" customFormat="false" ht="15" hidden="false" customHeight="true" outlineLevel="0" collapsed="false">
      <c r="A69" s="10" t="s">
        <v>635</v>
      </c>
      <c r="C69" s="36" t="n">
        <f aca="false">IF(Inputs!$M$105=0,MAX(0,C53+C55)*Inputs!B$66,IF(Inputs!$M$105=2,MAX(0,C58)*Inputs!$M$106,C63+C68))</f>
        <v>1346.85248606688</v>
      </c>
      <c r="D69" s="36" t="n">
        <f aca="false">IF(Inputs!$M$105=0,MAX(0,D53+D55)*Inputs!C$66,IF(Inputs!$M$105=2,MAX(0,D58)*Inputs!$M$106,D63+D68))</f>
        <v>4344.91777336203</v>
      </c>
      <c r="E69" s="36" t="n">
        <f aca="false">IF(Inputs!$M$105=0,MAX(0,E53+E55)*Inputs!D$66,IF(Inputs!$M$105=2,MAX(0,E58)*Inputs!$M$106,E63+E68))</f>
        <v>8273.58663738593</v>
      </c>
      <c r="F69" s="36" t="n">
        <f aca="false">IF(Inputs!$M$105=0,MAX(0,F53+F55)*Inputs!E$66,IF(Inputs!$M$105=2,MAX(0,F58)*Inputs!$M$106,F63+F68))</f>
        <v>12951.7287754743</v>
      </c>
      <c r="G69" s="36" t="n">
        <f aca="false">IF(Inputs!$M$105=0,MAX(0,G53+G55)*Inputs!F$66,IF(Inputs!$M$105=2,MAX(0,G58)*Inputs!$M$106,G63+G68))</f>
        <v>17438.2690413149</v>
      </c>
    </row>
    <row r="70" customFormat="false" ht="15" hidden="false" customHeight="true" outlineLevel="0" collapsed="false">
      <c r="A70" s="13" t="s">
        <v>636</v>
      </c>
      <c r="C70" s="16" t="n">
        <f aca="false">IF(C58&gt;0,MIN(1,C69/C58),0)</f>
        <v>0.21</v>
      </c>
      <c r="D70" s="16" t="n">
        <f aca="false">IF(D58&gt;0,MIN(1,D69/D58),0)</f>
        <v>0.21</v>
      </c>
      <c r="E70" s="16" t="n">
        <f aca="false">IF(E58&gt;0,MIN(1,E69/E58),0)</f>
        <v>0.21</v>
      </c>
      <c r="F70" s="16" t="n">
        <f aca="false">IF(F58&gt;0,MIN(1,F69/F58),0)</f>
        <v>0.21</v>
      </c>
      <c r="G70" s="16" t="n">
        <f aca="false">IF(G58&gt;0,MIN(1,G69/G58),0)</f>
        <v>0.21</v>
      </c>
    </row>
    <row r="71" customFormat="false" ht="15" hidden="false" customHeight="true" outlineLevel="0" collapsed="false">
      <c r="A71" s="13" t="s">
        <v>637</v>
      </c>
      <c r="C71" s="35" t="n">
        <f aca="false">C53+C55-C69</f>
        <v>5066.73078091826</v>
      </c>
      <c r="D71" s="35" t="n">
        <f aca="false">D53+D55-D69</f>
        <v>16345.1668616953</v>
      </c>
      <c r="E71" s="35" t="n">
        <f aca="false">E53+E55-E69</f>
        <v>31124.4449692137</v>
      </c>
      <c r="F71" s="35" t="n">
        <f aca="false">F53+F55-F69</f>
        <v>48723.1701553557</v>
      </c>
      <c r="G71" s="35" t="n">
        <f aca="false">G53+G55-G69</f>
        <v>65601.107345899</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10105.6654022912</v>
      </c>
      <c r="D75" s="36" t="n">
        <f aca="false">D53+D72+D52+D55-D69-D51+D73+D74</f>
        <v>22637.2388616953</v>
      </c>
      <c r="E75" s="36" t="n">
        <f aca="false">E53+E72+E52+E55-E69-E51+E73+E74</f>
        <v>38718.3249692137</v>
      </c>
      <c r="F75" s="36" t="n">
        <f aca="false">F53+F72+F52+F55-F69-F51+F73+F74</f>
        <v>58082.6272553557</v>
      </c>
      <c r="G75" s="36" t="n">
        <f aca="false">G53+G72+G52+G55-G69-G51+G73+G74</f>
        <v>76095.578295899</v>
      </c>
    </row>
    <row r="76" customFormat="false" ht="15" hidden="false" customHeight="true" outlineLevel="0" collapsed="false">
      <c r="A76" s="10" t="s">
        <v>642</v>
      </c>
      <c r="C76" s="36" t="n">
        <f aca="false">C53+C52-(C69-C55*C70)-C51+C73+C74</f>
        <v>924.876093418264</v>
      </c>
      <c r="D76" s="36" t="n">
        <f aca="false">D53+D52-(D69-D55*D70)-D51+D73+D74</f>
        <v>10170.83872</v>
      </c>
      <c r="E76" s="36" t="n">
        <f aca="false">E53+E52-(E69-E55*E70)-E51+E73+E74</f>
        <v>22116.38336</v>
      </c>
      <c r="F76" s="36" t="n">
        <f aca="false">F53+F52-(F69-F55*F70)-F51+F73+F74</f>
        <v>38277.820828</v>
      </c>
      <c r="G76" s="36" t="n">
        <f aca="false">G53+G52-(G69-G55*G70)-G51+G73+G74</f>
        <v>54008.62613025</v>
      </c>
    </row>
    <row r="77" customFormat="false" ht="15" hidden="false" customHeight="true" outlineLevel="0" collapsed="false">
      <c r="A77" s="13" t="s">
        <v>643</v>
      </c>
      <c r="C77" s="16" t="n">
        <f aca="false">IFERROR(C76/C49,0)</f>
        <v>0.0170509216735789</v>
      </c>
      <c r="D77" s="16" t="n">
        <f aca="false">IFERROR(D76/D49,0)</f>
        <v>0.0937542745473987</v>
      </c>
      <c r="E77" s="16" t="n">
        <f aca="false">IFERROR(E76/E49,0)</f>
        <v>0.131527547157244</v>
      </c>
      <c r="F77" s="16" t="n">
        <f aca="false">IFERROR(F76/F49,0)</f>
        <v>0.168622703714144</v>
      </c>
      <c r="G77" s="16" t="n">
        <f aca="false">IFERROR(G76/G49,0)</f>
        <v>0.190336447895327</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136852.665402291</v>
      </c>
      <c r="E80" s="35" t="n">
        <f aca="false">D85</f>
        <v>159489.904263986</v>
      </c>
      <c r="F80" s="35" t="n">
        <f aca="false">E85</f>
        <v>198208.2292332</v>
      </c>
      <c r="G80" s="35" t="n">
        <f aca="false">F85</f>
        <v>256290.856488556</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5007.66540229123</v>
      </c>
      <c r="D82" s="35" t="n">
        <f aca="false">D75</f>
        <v>22637.2388616953</v>
      </c>
      <c r="E82" s="35" t="n">
        <f aca="false">E75</f>
        <v>38718.3249692137</v>
      </c>
      <c r="F82" s="35" t="n">
        <f aca="false">F75</f>
        <v>58082.6272553557</v>
      </c>
      <c r="G82" s="35" t="n">
        <f aca="false">G75</f>
        <v>76095.578295899</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136852.665402291</v>
      </c>
      <c r="D85" s="36" t="n">
        <f aca="false">D80+D82+D83+D84</f>
        <v>159489.904263986</v>
      </c>
      <c r="E85" s="36" t="n">
        <f aca="false">E80+E82+E83+E84</f>
        <v>198208.2292332</v>
      </c>
      <c r="F85" s="36" t="n">
        <f aca="false">F80+F82+F83+F84</f>
        <v>256290.856488556</v>
      </c>
      <c r="G85" s="36" t="n">
        <f aca="false">G80+G82+G83+G84</f>
        <v>332386.434784455</v>
      </c>
    </row>
    <row r="86" customFormat="false" ht="15" hidden="false" customHeight="true" outlineLevel="0" collapsed="false">
      <c r="A86" s="13" t="s">
        <v>653</v>
      </c>
      <c r="C86" s="35" t="n">
        <f aca="false">MIN(C80-C81,C85)</f>
        <v>131845</v>
      </c>
      <c r="D86" s="35" t="n">
        <f aca="false">MIN(D80-D81,D85)</f>
        <v>136852.665402291</v>
      </c>
      <c r="E86" s="35" t="n">
        <f aca="false">MIN(E80-E81,E85)</f>
        <v>159489.904263986</v>
      </c>
      <c r="F86" s="35" t="n">
        <f aca="false">MIN(F80-F81,F85)</f>
        <v>198208.2292332</v>
      </c>
      <c r="G86" s="35" t="n">
        <f aca="false">MIN(G80-G81,G85)</f>
        <v>256290.856488556</v>
      </c>
    </row>
    <row r="87" customFormat="false" ht="15" hidden="false" customHeight="true" outlineLevel="0" collapsed="false">
      <c r="A87" s="13" t="s">
        <v>654</v>
      </c>
      <c r="C87" s="35" t="n">
        <f aca="false">C86-Inputs!$B$29</f>
        <v>126845</v>
      </c>
      <c r="D87" s="35" t="n">
        <f aca="false">D86-Inputs!$B$29</f>
        <v>131852.665402291</v>
      </c>
      <c r="E87" s="35" t="n">
        <f aca="false">E86-Inputs!$B$29</f>
        <v>154489.904263986</v>
      </c>
      <c r="F87" s="35" t="n">
        <f aca="false">F86-Inputs!$B$29</f>
        <v>193208.2292332</v>
      </c>
      <c r="G87" s="35" t="n">
        <f aca="false">G86-Inputs!$B$29</f>
        <v>251290.856488556</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136852.665402291</v>
      </c>
      <c r="D100" s="35" t="n">
        <f aca="false">D85+SUM($C97:D97)+SUM($C98:D98)-SUM($C99:D99)</f>
        <v>159489.904263986</v>
      </c>
      <c r="E100" s="35" t="n">
        <f aca="false">E85+SUM($C97:E97)+SUM($C98:E98)-SUM($C99:E99)</f>
        <v>198208.2292332</v>
      </c>
      <c r="F100" s="35" t="n">
        <f aca="false">F85+SUM($C97:F97)+SUM($C98:F98)-SUM($C99:F99)</f>
        <v>256290.856488556</v>
      </c>
      <c r="G100" s="35" t="n">
        <f aca="false">G85+SUM($C97:G97)+SUM($C98:G98)-SUM($C99:G99)</f>
        <v>332386.434784455</v>
      </c>
    </row>
    <row r="101" customFormat="false" ht="15" hidden="false" customHeight="true" outlineLevel="0" collapsed="false">
      <c r="A101" s="13" t="s">
        <v>668</v>
      </c>
      <c r="C101" s="35" t="n">
        <f aca="false">MIN(C80-C81+0+C97,C100)</f>
        <v>131845</v>
      </c>
      <c r="D101" s="35" t="n">
        <f aca="false">MIN(D80-D81+SUM($C97:C97)+SUM($C98:C98)-SUM($C99:C99)+D97,D100)</f>
        <v>136852.665402291</v>
      </c>
      <c r="E101" s="35" t="n">
        <f aca="false">MIN(E80-E81+SUM($C97:D97)+SUM($C98:D98)-SUM($C99:D99)+E97,E100)</f>
        <v>159489.904263986</v>
      </c>
      <c r="F101" s="35" t="n">
        <f aca="false">MIN(F80-F81+SUM($C97:E97)+SUM($C98:E98)-SUM($C99:E99)+F97,F100)</f>
        <v>198208.2292332</v>
      </c>
      <c r="G101" s="35" t="n">
        <f aca="false">MIN(G80-G81+SUM($C97:F97)+SUM($C98:F98)-SUM($C99:F99)+G97,G100)</f>
        <v>256290.856488556</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3421.31663505728</v>
      </c>
      <c r="E111" s="35" t="n">
        <f aca="false">MAX(0,E136-E137)*Inputs!$B$20</f>
        <v>4000.80333330366</v>
      </c>
      <c r="F111" s="35" t="n">
        <f aca="false">MAX(0,F136-F137)*Inputs!$B$20</f>
        <v>5019.82739923791</v>
      </c>
      <c r="G111" s="35" t="n">
        <f aca="false">MAX(0,G136-G137)*Inputs!$B$20</f>
        <v>6610.58237325761</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21455.5477390573</v>
      </c>
      <c r="E114" s="35" t="n">
        <f aca="false">E109+E111+E112-E113</f>
        <v>42347.0016473037</v>
      </c>
      <c r="F114" s="35" t="n">
        <f aca="false">F109+F111+F112-F113</f>
        <v>69616.0285402379</v>
      </c>
      <c r="G114" s="35" t="n">
        <f aca="false">G109+G111+G112-G113</f>
        <v>97886.7153698826</v>
      </c>
    </row>
    <row r="115" customFormat="false" ht="15" hidden="false" customHeight="true" outlineLevel="0" collapsed="false">
      <c r="A115" s="13" t="s">
        <v>625</v>
      </c>
      <c r="C115" s="35" t="n">
        <f aca="false">C114*Inputs!$B$58</f>
        <v>4617.7799522293</v>
      </c>
      <c r="D115" s="35" t="n">
        <f aca="false">D114*Inputs!$B$58</f>
        <v>15447.9943721212</v>
      </c>
      <c r="E115" s="35" t="n">
        <f aca="false">E114*Inputs!$B$58</f>
        <v>30489.8411860586</v>
      </c>
      <c r="F115" s="35" t="n">
        <f aca="false">F114*Inputs!$B$58</f>
        <v>50123.5405489713</v>
      </c>
      <c r="G115" s="35" t="n">
        <f aca="false">G114*Inputs!$B$58</f>
        <v>70478.4350663155</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674.879662327274</v>
      </c>
      <c r="E119" s="35" t="n">
        <f aca="false">MAX(0,E115-E117)*Inputs!$B$59</f>
        <v>1829.39047116352</v>
      </c>
      <c r="F119" s="35" t="n">
        <f aca="false">MAX(0,F115-F117)*Inputs!$B$59</f>
        <v>3007.41243293828</v>
      </c>
      <c r="G119" s="35" t="n">
        <f aca="false">MAX(0,G115-G117)*Inputs!$B$59</f>
        <v>4228.70610397893</v>
      </c>
    </row>
    <row r="120" customFormat="false" ht="15" hidden="false" customHeight="true" outlineLevel="0" collapsed="false">
      <c r="A120" s="13" t="s">
        <v>630</v>
      </c>
      <c r="C120" s="35" t="n">
        <f aca="false">C114-C119</f>
        <v>6136.51646985139</v>
      </c>
      <c r="D120" s="35" t="n">
        <f aca="false">D114-D119</f>
        <v>20780.66807673</v>
      </c>
      <c r="E120" s="35" t="n">
        <f aca="false">E114-E119</f>
        <v>40517.6111761402</v>
      </c>
      <c r="F120" s="35" t="n">
        <f aca="false">F114-F119</f>
        <v>66608.6161072996</v>
      </c>
      <c r="G120" s="35" t="n">
        <f aca="false">G114-G119</f>
        <v>93658.0092659037</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3672.87506304833</v>
      </c>
      <c r="E124" s="35" t="n">
        <f aca="false">MAX(0,E120-E122)*Inputs!$B$55</f>
        <v>8508.69834698943</v>
      </c>
      <c r="F124" s="35" t="n">
        <f aca="false">MAX(0,F120-F122)*Inputs!$B$55</f>
        <v>13987.8093825329</v>
      </c>
      <c r="G124" s="35" t="n">
        <f aca="false">MAX(0,G120-G122)*Inputs!$B$55</f>
        <v>19668.1819458398</v>
      </c>
    </row>
    <row r="125" customFormat="false" ht="15" hidden="false" customHeight="true" outlineLevel="0" collapsed="false">
      <c r="A125" s="10" t="s">
        <v>635</v>
      </c>
      <c r="C125" s="36" t="n">
        <f aca="false">IF(Inputs!$M$105=0,MAX(0,C109+C111)*Inputs!B$66,IF(Inputs!$M$105=2,MAX(0,C114)*Inputs!$M$106,C119+C124))</f>
        <v>1346.85248606688</v>
      </c>
      <c r="D125" s="36" t="n">
        <f aca="false">IF(Inputs!$M$105=0,MAX(0,D109+D111)*Inputs!C$66,IF(Inputs!$M$105=2,MAX(0,D114)*Inputs!$M$106,D119+D124))</f>
        <v>4505.66502520203</v>
      </c>
      <c r="E125" s="36" t="n">
        <f aca="false">IF(Inputs!$M$105=0,MAX(0,E109+E111)*Inputs!D$66,IF(Inputs!$M$105=2,MAX(0,E114)*Inputs!$M$106,E119+E124))</f>
        <v>8892.87034593377</v>
      </c>
      <c r="F125" s="36" t="n">
        <f aca="false">IF(Inputs!$M$105=0,MAX(0,F109+F111)*Inputs!E$66,IF(Inputs!$M$105=2,MAX(0,F114)*Inputs!$M$106,F119+F124))</f>
        <v>14619.36599345</v>
      </c>
      <c r="G125" s="36" t="n">
        <f aca="false">IF(Inputs!$M$105=0,MAX(0,G109+G111)*Inputs!F$66,IF(Inputs!$M$105=2,MAX(0,G114)*Inputs!$M$106,G119+G124))</f>
        <v>20556.2102276754</v>
      </c>
    </row>
    <row r="126" customFormat="false" ht="15" hidden="false" customHeight="true" outlineLevel="0" collapsed="false">
      <c r="A126" s="13" t="s">
        <v>636</v>
      </c>
      <c r="C126" s="16" t="n">
        <f aca="false">IF(C114&gt;0,MIN(1,C125/C114),0)</f>
        <v>0.21</v>
      </c>
      <c r="D126" s="16" t="n">
        <f aca="false">IF(D114&gt;0,MIN(1,D125/D114),0)</f>
        <v>0.21</v>
      </c>
      <c r="E126" s="16" t="n">
        <f aca="false">IF(E114&gt;0,MIN(1,E125/E114),0)</f>
        <v>0.21</v>
      </c>
      <c r="F126" s="16" t="n">
        <f aca="false">IF(F114&gt;0,MIN(1,F125/F114),0)</f>
        <v>0.21</v>
      </c>
      <c r="G126" s="16" t="n">
        <f aca="false">IF(G114&gt;0,MIN(1,G125/G114),0)</f>
        <v>0.21</v>
      </c>
    </row>
    <row r="127" customFormat="false" ht="15" hidden="false" customHeight="true" outlineLevel="0" collapsed="false">
      <c r="A127" s="13" t="s">
        <v>637</v>
      </c>
      <c r="C127" s="35" t="n">
        <f aca="false">C109+C111-C125</f>
        <v>5066.73078091826</v>
      </c>
      <c r="D127" s="35" t="n">
        <f aca="false">D109+D111-D125</f>
        <v>16949.8827138553</v>
      </c>
      <c r="E127" s="35" t="n">
        <f aca="false">E109+E111-E125</f>
        <v>33454.1313013699</v>
      </c>
      <c r="F127" s="35" t="n">
        <f aca="false">F109+F111-F125</f>
        <v>54996.662546788</v>
      </c>
      <c r="G127" s="35" t="n">
        <f aca="false">G109+G111-G125</f>
        <v>77330.5051422073</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10105.6654022912</v>
      </c>
      <c r="D131" s="36" t="n">
        <f aca="false">D109+D128+D108+D111-D125-D107+D129+D130</f>
        <v>23179.4679298553</v>
      </c>
      <c r="E131" s="36" t="n">
        <f aca="false">E109+E128+E108+E111-E125-E107+E129+E130</f>
        <v>40760.9626373699</v>
      </c>
      <c r="F131" s="36" t="n">
        <f aca="false">F109+F128+F108+F111-F125-F107+F129+F130</f>
        <v>63630.1989607879</v>
      </c>
      <c r="G131" s="36" t="n">
        <f aca="false">G109+G128+G108+G111-G125-G107+G129+G130</f>
        <v>86588.2991737073</v>
      </c>
    </row>
    <row r="132" customFormat="false" ht="15" hidden="false" customHeight="true" outlineLevel="0" collapsed="false">
      <c r="A132" s="10" t="s">
        <v>642</v>
      </c>
      <c r="C132" s="36" t="n">
        <f aca="false">C109+C108-(C125-C111*C126)-C107+C129+C130</f>
        <v>924.876093418264</v>
      </c>
      <c r="D132" s="36" t="n">
        <f aca="false">D109+D108-(D125-D111*D126)-D107+D129+D130</f>
        <v>10713.06778816</v>
      </c>
      <c r="E132" s="36" t="n">
        <f aca="false">E109+E108-(E125-E111*E126)-E107+E129+E130</f>
        <v>24148.31200406</v>
      </c>
      <c r="F132" s="36" t="n">
        <f aca="false">F109+F108-(F125-F111*F126)-F107+F129+F130</f>
        <v>43774.34141539</v>
      </c>
      <c r="G132" s="36" t="n">
        <f aca="false">G109+G108-(G125-G111*G126)-G107+G129+G130</f>
        <v>64340.7313488338</v>
      </c>
    </row>
    <row r="133" customFormat="false" ht="15" hidden="false" customHeight="true" outlineLevel="0" collapsed="false">
      <c r="A133" s="13" t="s">
        <v>643</v>
      </c>
      <c r="C133" s="16" t="n">
        <f aca="false">IFERROR(C132/C105,0)</f>
        <v>0.0170509216735789</v>
      </c>
      <c r="D133" s="16" t="n">
        <f aca="false">IFERROR(D132/D105,0)</f>
        <v>0.0970063993589378</v>
      </c>
      <c r="E133" s="16" t="n">
        <f aca="false">IFERROR(E132/E105,0)</f>
        <v>0.13742732711451</v>
      </c>
      <c r="F133" s="16" t="n">
        <f aca="false">IFERROR(F132/F105,0)</f>
        <v>0.176913903969768</v>
      </c>
      <c r="G133" s="16" t="n">
        <f aca="false">IFERROR(G132/G105,0)</f>
        <v>0.199778598401454</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136852.665402291</v>
      </c>
      <c r="E136" s="35" t="n">
        <f aca="false">D141</f>
        <v>160032.133332146</v>
      </c>
      <c r="F136" s="35" t="n">
        <f aca="false">E141</f>
        <v>200793.095969516</v>
      </c>
      <c r="G136" s="35" t="n">
        <f aca="false">F141</f>
        <v>264423.294930304</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5007.66540229123</v>
      </c>
      <c r="D138" s="35" t="n">
        <f aca="false">D131</f>
        <v>23179.4679298553</v>
      </c>
      <c r="E138" s="35" t="n">
        <f aca="false">E131</f>
        <v>40760.9626373699</v>
      </c>
      <c r="F138" s="35" t="n">
        <f aca="false">F131</f>
        <v>63630.1989607879</v>
      </c>
      <c r="G138" s="35" t="n">
        <f aca="false">G131</f>
        <v>86588.2991737073</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136852.665402291</v>
      </c>
      <c r="D141" s="36" t="n">
        <f aca="false">D136+D138+D139+D140</f>
        <v>160032.133332146</v>
      </c>
      <c r="E141" s="36" t="n">
        <f aca="false">E136+E138+E139+E140</f>
        <v>200793.095969516</v>
      </c>
      <c r="F141" s="36" t="n">
        <f aca="false">F136+F138+F139+F140</f>
        <v>264423.294930304</v>
      </c>
      <c r="G141" s="36" t="n">
        <f aca="false">G136+G138+G139+G140</f>
        <v>351011.594104012</v>
      </c>
    </row>
    <row r="142" customFormat="false" ht="15" hidden="false" customHeight="true" outlineLevel="0" collapsed="false">
      <c r="A142" s="13" t="s">
        <v>653</v>
      </c>
      <c r="C142" s="35" t="n">
        <f aca="false">MIN(C136-C137,C141)</f>
        <v>131845</v>
      </c>
      <c r="D142" s="35" t="n">
        <f aca="false">MIN(D136-D137,D141)</f>
        <v>136852.665402291</v>
      </c>
      <c r="E142" s="35" t="n">
        <f aca="false">MIN(E136-E137,E141)</f>
        <v>160032.133332146</v>
      </c>
      <c r="F142" s="35" t="n">
        <f aca="false">MIN(F136-F137,F141)</f>
        <v>200793.095969516</v>
      </c>
      <c r="G142" s="35" t="n">
        <f aca="false">MIN(G136-G137,G141)</f>
        <v>264423.294930304</v>
      </c>
    </row>
    <row r="143" customFormat="false" ht="15" hidden="false" customHeight="true" outlineLevel="0" collapsed="false">
      <c r="A143" s="13" t="s">
        <v>654</v>
      </c>
      <c r="C143" s="35" t="n">
        <f aca="false">C142-Inputs!$B$29</f>
        <v>126845</v>
      </c>
      <c r="D143" s="35" t="n">
        <f aca="false">D142-Inputs!$B$29</f>
        <v>131852.665402291</v>
      </c>
      <c r="E143" s="35" t="n">
        <f aca="false">E142-Inputs!$B$29</f>
        <v>155032.133332146</v>
      </c>
      <c r="F143" s="35" t="n">
        <f aca="false">F142-Inputs!$B$29</f>
        <v>195793.095969516</v>
      </c>
      <c r="G143" s="35" t="n">
        <f aca="false">G142-Inputs!$B$29</f>
        <v>259423.294930304</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136852.665402291</v>
      </c>
      <c r="D156" s="35" t="n">
        <f aca="false">D141+SUM($C153:D153)+SUM($C154:D154)-SUM($C155:D155)</f>
        <v>160032.133332146</v>
      </c>
      <c r="E156" s="35" t="n">
        <f aca="false">E141+SUM($C153:E153)+SUM($C154:E154)-SUM($C155:E155)</f>
        <v>200793.095969516</v>
      </c>
      <c r="F156" s="35" t="n">
        <f aca="false">F141+SUM($C153:F153)+SUM($C154:F154)-SUM($C155:F155)</f>
        <v>264423.294930304</v>
      </c>
      <c r="G156" s="35" t="n">
        <f aca="false">G141+SUM($C153:G153)+SUM($C154:G154)-SUM($C155:G155)</f>
        <v>351011.594104012</v>
      </c>
    </row>
    <row r="157" customFormat="false" ht="15" hidden="false" customHeight="true" outlineLevel="0" collapsed="false">
      <c r="A157" s="13" t="s">
        <v>668</v>
      </c>
      <c r="C157" s="35" t="n">
        <f aca="false">MIN(C136-C137+0+C153,C156)</f>
        <v>131845</v>
      </c>
      <c r="D157" s="35" t="n">
        <f aca="false">MIN(D136-D137+SUM($C153:C153)+SUM($C154:C154)-SUM($C155:C155)+D153,D156)</f>
        <v>136852.665402291</v>
      </c>
      <c r="E157" s="35" t="n">
        <f aca="false">MIN(E136-E137+SUM($C153:D153)+SUM($C154:D154)-SUM($C155:D155)+E153,E156)</f>
        <v>160032.133332146</v>
      </c>
      <c r="F157" s="35" t="n">
        <f aca="false">MIN(F136-F137+SUM($C153:E153)+SUM($C154:E154)-SUM($C155:E155)+F153,F156)</f>
        <v>200793.095969516</v>
      </c>
      <c r="G157" s="35" t="n">
        <f aca="false">MIN(G136-G137+SUM($C153:F153)+SUM($C154:F154)-SUM($C155:F155)+G153,G156)</f>
        <v>264423.294930304</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Inputs!$B$19+Inputs!$M$104</f>
        <v>0.12</v>
      </c>
      <c r="G162" s="16" t="n">
        <f aca="false">Inputs!$B$19+Inputs!$M$104</f>
        <v>0.12</v>
      </c>
    </row>
    <row r="163" customFormat="false" ht="15" hidden="false" customHeight="true" outlineLevel="0" collapsed="false">
      <c r="A163" s="13" t="s">
        <v>673</v>
      </c>
      <c r="F163" s="35" t="n">
        <f aca="false">G53*(1-G70)</f>
        <v>60539.36293025</v>
      </c>
      <c r="G163" s="35" t="n">
        <f aca="false">G109*(1-G126)</f>
        <v>72108.1450673338</v>
      </c>
    </row>
    <row r="164" customFormat="false" ht="15" hidden="false" customHeight="true" outlineLevel="0" collapsed="false">
      <c r="A164" s="13" t="s">
        <v>674</v>
      </c>
      <c r="F164" s="54" t="n">
        <f aca="false">Inputs!$M$102</f>
        <v>30</v>
      </c>
      <c r="G164" s="54" t="n">
        <f aca="false">Inputs!$M$102</f>
        <v>30</v>
      </c>
    </row>
    <row r="165" customFormat="false" ht="15" hidden="false" customHeight="true" outlineLevel="0" collapsed="false">
      <c r="A165" s="13" t="s">
        <v>675</v>
      </c>
      <c r="F165" s="35" t="n">
        <f aca="false">F163*F164</f>
        <v>1816180.8879075</v>
      </c>
      <c r="G165" s="35" t="n">
        <f aca="false">G163*G164</f>
        <v>2163244.35202001</v>
      </c>
    </row>
    <row r="166" customFormat="false" ht="15" hidden="false" customHeight="true" outlineLevel="0" collapsed="false">
      <c r="A166" s="13" t="s">
        <v>676</v>
      </c>
      <c r="F166" s="35" t="n">
        <f aca="false">F165*$G$21</f>
        <v>1154215.78791855</v>
      </c>
      <c r="G166" s="35" t="n">
        <f aca="false">G165*$G$21</f>
        <v>1374780.89371586</v>
      </c>
    </row>
    <row r="167" customFormat="false" ht="15" hidden="false" customHeight="true" outlineLevel="0" collapsed="false">
      <c r="A167" s="13" t="s">
        <v>677</v>
      </c>
      <c r="F167" s="35" t="n">
        <f aca="false">SUMPRODUCT(D76:G76,$D$21:$G$21)-F162*SUMPRODUCT(D81:G81,$D$21:$G$21)</f>
        <v>88281.0064984559</v>
      </c>
      <c r="G167" s="35" t="n">
        <f aca="false">SUMPRODUCT(D132:G132,$D$21:$G$21)-G162*SUMPRODUCT(D137:G137,$D$21:$G$21)</f>
        <v>100863.535109887</v>
      </c>
    </row>
    <row r="168" customFormat="false" ht="15" hidden="false" customHeight="true" outlineLevel="0" collapsed="false">
      <c r="A168" s="13" t="s">
        <v>678</v>
      </c>
      <c r="F168" s="35" t="n">
        <f aca="false">F166+F167</f>
        <v>1242496.79441701</v>
      </c>
      <c r="G168" s="35" t="n">
        <f aca="false">G166+G167</f>
        <v>1475644.42882575</v>
      </c>
    </row>
    <row r="169" customFormat="false" ht="15" hidden="false" customHeight="true" outlineLevel="0" collapsed="false">
      <c r="A169" s="13" t="s">
        <v>679</v>
      </c>
      <c r="F169" s="35" t="n">
        <f aca="false">(G76-G74)*Inputs!$M$103*$G$21</f>
        <v>961056.83227628</v>
      </c>
      <c r="G169" s="35" t="n">
        <f aca="false">(G132-G130)*Inputs!$M$103*$G$21</f>
        <v>1144911.54259922</v>
      </c>
    </row>
    <row r="170" customFormat="false" ht="15" hidden="false" customHeight="true" outlineLevel="0" collapsed="false">
      <c r="A170" s="13" t="s">
        <v>680</v>
      </c>
      <c r="F170" s="35" t="n">
        <f aca="false">F167+F169</f>
        <v>1049337.83877474</v>
      </c>
      <c r="G170" s="35" t="n">
        <f aca="false">G167+G169</f>
        <v>1245775.07770911</v>
      </c>
    </row>
    <row r="171" customFormat="false" ht="15" hidden="false" customHeight="true" outlineLevel="0" collapsed="false">
      <c r="A171" s="13" t="s">
        <v>681</v>
      </c>
      <c r="F171" s="35" t="n">
        <f aca="false">F168*Inputs!$B$21+F170*(1-Inputs!$B$21)</f>
        <v>1145917.31659587</v>
      </c>
      <c r="G171" s="35" t="n">
        <f aca="false">G168*Inputs!$B$21+G170*(1-Inputs!$B$21)</f>
        <v>1360709.75326743</v>
      </c>
    </row>
    <row r="172" customFormat="false" ht="15" hidden="false" customHeight="true" outlineLevel="0" collapsed="false">
      <c r="A172" s="13" t="s">
        <v>682</v>
      </c>
      <c r="F172" s="16" t="n">
        <f aca="false">IFERROR(F166/F168,0)</f>
        <v>0.928948704821506</v>
      </c>
      <c r="G172" s="16" t="n">
        <f aca="false">IFERROR(G166/G168,0)</f>
        <v>0.931647805433623</v>
      </c>
    </row>
    <row r="173" customFormat="false" ht="15" hidden="false" customHeight="true" outlineLevel="0" collapsed="false">
      <c r="A173" s="13" t="s">
        <v>683</v>
      </c>
      <c r="F173" s="16" t="n">
        <f aca="false">IFERROR(F169/F170,0)</f>
        <v>0.915869795945282</v>
      </c>
      <c r="G173" s="16" t="n">
        <f aca="false">IFERROR(G169/G170,0)</f>
        <v>0.919035516992869</v>
      </c>
    </row>
    <row r="174" customFormat="false" ht="15" hidden="false" customHeight="true" outlineLevel="0" collapsed="false">
      <c r="A174" s="13" t="s">
        <v>684</v>
      </c>
      <c r="F174" s="35" t="n">
        <f aca="false">C85</f>
        <v>136852.665402291</v>
      </c>
      <c r="G174" s="35" t="n">
        <f aca="false">C141</f>
        <v>136852.665402291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1282769.98199816</v>
      </c>
      <c r="G176" s="34" t="n">
        <f aca="false">G171+G174+G175</f>
        <v>1497562.41866972</v>
      </c>
    </row>
    <row r="177" customFormat="false" ht="15" hidden="false" customHeight="true" outlineLevel="0" collapsed="false">
      <c r="A177" s="13" t="s">
        <v>687</v>
      </c>
      <c r="F177" s="35" t="n">
        <f aca="false">IF(F182="OK",F176,"unresolved")</f>
        <v>1282769.98199816</v>
      </c>
      <c r="G177" s="35" t="n">
        <f aca="false">IF(G182="OK",G176,"unresolved")</f>
        <v>1497562.41866972</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71.5150627001166</v>
      </c>
      <c r="G179" s="25" t="n">
        <f aca="false">IF(G182="OK",G176/G178,"n/a")</f>
        <v>83.4898475732002</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71.5150627001166</v>
      </c>
      <c r="G184" s="25" t="n">
        <f aca="false">IF(NOT(ISNUMBER(G179)),"unresolved",IF(G180=0,G179,(G176+G180/(1+G162)^IF(ISNUMBER(G149),MAX(0,G149-2027),0))/(G178+(G180/(1-Inputs!$B$31))/(G179*(1+G162)^IF(ISNUMBER(G149),MAX(0,G149-2027),0)*(1-0)))))</f>
        <v>83.4898475732002</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71.5150627001166</v>
      </c>
      <c r="G185" s="25" t="n">
        <f aca="false">IF(NOT(ISNUMBER(G179)),"unresolved",IF(G180=0,G179,(G176+G180/(1+G162)^IF(ISNUMBER(G149),MAX(0,G149-2027),0))/(G178+(G180/(1-Inputs!$B$31))/(G179*(1+G162)^IF(ISNUMBER(G149),MAX(0,G149-2027),0)*(1-Inputs!$B$30)))))</f>
        <v>83.4898475732002</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71.5150627001166</v>
      </c>
      <c r="G186" s="25" t="n">
        <f aca="false">IF(NOT(ISNUMBER(G179)),"unresolved",IF(G180=0,G179,(G176+G180/(1+G162)^IF(ISNUMBER(G149),MAX(0,G149-2027),0))/(G178+(G180/(1-Inputs!$B$31))/(G179*(1+G162)^IF(ISNUMBER(G149),MAX(0,G149-2027),0)*(1-0.3)))))</f>
        <v>83.4898475732002</v>
      </c>
    </row>
    <row r="187" customFormat="false" ht="15" hidden="false" customHeight="true" outlineLevel="0" collapsed="false">
      <c r="A187" s="13" t="s">
        <v>696</v>
      </c>
      <c r="F187" s="25" t="n">
        <f aca="false">F185</f>
        <v>71.5150627001166</v>
      </c>
      <c r="G187" s="25" t="n">
        <f aca="false">G185</f>
        <v>83.4898475732002</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71.5150627001166</v>
      </c>
      <c r="G189" s="12" t="n">
        <f aca="false">IF(ISNUMBER(G187),G187/(1+Inputs!$B$25)^G188,"unresolved")</f>
        <v>83.4898475732002</v>
      </c>
    </row>
    <row r="190" customFormat="false" ht="15" hidden="false" customHeight="true" outlineLevel="0" collapsed="false">
      <c r="A190" s="13" t="s">
        <v>699</v>
      </c>
      <c r="F190" s="25" t="n">
        <f aca="false">IF(F180=0,F189,"unresolved")</f>
        <v>71.5150627001166</v>
      </c>
      <c r="G190" s="25" t="n">
        <f aca="false">IF(G180=0,G189,"unresolved")</f>
        <v>83.4898475732002</v>
      </c>
    </row>
    <row r="191" customFormat="false" ht="15" hidden="false" customHeight="true" outlineLevel="0" collapsed="false">
      <c r="A191" s="13" t="s">
        <v>700</v>
      </c>
      <c r="F191" s="35" t="n">
        <f aca="false">IF(ISNUMBER(F179),F176+F180/(1+F162)^IF(ISNUMBER(G93),MAX(0,G93-2027),0),"unresolved")</f>
        <v>1282769.98199816</v>
      </c>
      <c r="G191" s="35" t="n">
        <f aca="false">IF(ISNUMBER(G179),G176+G180/(1+G162)^IF(ISNUMBER(G149),MAX(0,G149-2027),0),"unresolved")</f>
        <v>1497562.41866972</v>
      </c>
    </row>
    <row r="192" customFormat="false" ht="15" hidden="false" customHeight="true" outlineLevel="0" collapsed="false">
      <c r="A192" s="13" t="s">
        <v>701</v>
      </c>
      <c r="F192" s="28" t="n">
        <f aca="false">IFERROR(F191/D49,"n/a")</f>
        <v>11.8245085173681</v>
      </c>
      <c r="G192" s="28" t="n">
        <f aca="false">IFERROR(G191/D105,"n/a")</f>
        <v>13.560367667137</v>
      </c>
    </row>
    <row r="193" customFormat="false" ht="15" hidden="false" customHeight="true" outlineLevel="0" collapsed="false">
      <c r="A193" s="13" t="s">
        <v>702</v>
      </c>
      <c r="F193" s="25" t="n">
        <f aca="false">(F168+F174)/F178</f>
        <v>76.8994164882871</v>
      </c>
      <c r="G193" s="25" t="n">
        <f aca="false">(G168+G174)/G178</f>
        <v>89.8975127386784</v>
      </c>
    </row>
    <row r="194" customFormat="false" ht="15" hidden="false" customHeight="true" outlineLevel="0" collapsed="false">
      <c r="A194" s="13" t="s">
        <v>703</v>
      </c>
      <c r="F194" s="25" t="n">
        <f aca="false">(F170+F174)/F178</f>
        <v>66.1307089119462</v>
      </c>
      <c r="G194" s="25" t="n">
        <f aca="false">(G170+G174)/G178</f>
        <v>77.082182407722</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717</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Historicals!F35+(Inputs!$B$5+Inputs!$N$75)</f>
        <v>54242</v>
      </c>
      <c r="D5" s="35" t="n">
        <f aca="false">C5*(1+Inputs!$N$77)</f>
        <v>108484</v>
      </c>
      <c r="E5" s="35" t="n">
        <f aca="false">D5*(1+Inputs!$N$78)</f>
        <v>168150.2</v>
      </c>
      <c r="F5" s="35" t="n">
        <f aca="false">E5*(1+Inputs!$N$79)</f>
        <v>227002.77</v>
      </c>
      <c r="G5" s="35" t="n">
        <f aca="false">F5*(1+Inputs!$N$80)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Historicals!F51+(Inputs!$B$5+Inputs!$N$75)*Historicals!F51/Historicals!F35</f>
        <v>10731.163207663</v>
      </c>
      <c r="D7" s="35" t="n">
        <f aca="false">D5*Inputs!$N$76</f>
        <v>21696.8</v>
      </c>
      <c r="E7" s="35" t="n">
        <f aca="false">E5*Inputs!$N$76</f>
        <v>33630.04</v>
      </c>
      <c r="F7" s="35" t="n">
        <f aca="false">F5*Inputs!$N$76</f>
        <v>45400.554</v>
      </c>
      <c r="G7" s="35" t="n">
        <f aca="false">G5*Inputs!$N$76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Historicals!F36+Historicals!H6+Inputs!$N$75*Inputs!$N$81</f>
        <v>28258</v>
      </c>
      <c r="D9" s="35" t="n">
        <f aca="false">(C9-Inputs!$N$113)*(1+Inputs!$N$82)</f>
        <v>48038.6</v>
      </c>
      <c r="E9" s="35" t="n">
        <f aca="false">D9*(1+Inputs!$N$83)</f>
        <v>69655.97</v>
      </c>
      <c r="F9" s="35" t="n">
        <f aca="false">E9*(1+Inputs!$N$84)</f>
        <v>90552.761</v>
      </c>
      <c r="G9" s="35" t="n">
        <f aca="false">F9*(1+Inputs!$N$85)</f>
        <v>108663.3132</v>
      </c>
    </row>
    <row r="10" customFormat="false" ht="15" hidden="false" customHeight="true" outlineLevel="0" collapsed="false">
      <c r="A10" s="13" t="s">
        <v>219</v>
      </c>
      <c r="B10" s="41" t="n">
        <f aca="false">Historicals!D36</f>
        <v>7326</v>
      </c>
      <c r="C10" s="35" t="n">
        <f aca="false">Historicals!F36+Historicals!H6+MAX(Inputs!$N$75*Inputs!$N$81,Inputs!$N$108*C22)</f>
        <v>28258</v>
      </c>
      <c r="D10" s="35" t="n">
        <f aca="false">MAX(D9,Inputs!$N$108*D22)</f>
        <v>48038.6</v>
      </c>
      <c r="E10" s="35" t="n">
        <f aca="false">MAX(E9,Inputs!$N$108*E22)</f>
        <v>69655.97</v>
      </c>
      <c r="F10" s="35" t="n">
        <f aca="false">MAX(F9,Inputs!$N$108*F22)</f>
        <v>90552.761</v>
      </c>
      <c r="G10" s="35" t="n">
        <f aca="false">MAX(G9,Inputs!$N$108*G22)</f>
        <v>108663.3132</v>
      </c>
    </row>
    <row r="11" customFormat="false" ht="15" hidden="false" customHeight="true" outlineLevel="0" collapsed="false">
      <c r="A11" s="13" t="s">
        <v>220</v>
      </c>
      <c r="B11" s="41" t="n">
        <f aca="false">Historicals!D37</f>
        <v>1839</v>
      </c>
      <c r="C11" s="35" t="n">
        <f aca="false">Historicals!F37+Historicals!H7+Inputs!$N$75*Historicals!H24</f>
        <v>6982.0728945506</v>
      </c>
      <c r="D11" s="35" t="n">
        <f aca="false">D5*Inputs!$N$86</f>
        <v>15187.76</v>
      </c>
      <c r="E11" s="35" t="n">
        <f aca="false">E5*Inputs!$N$87</f>
        <v>21859.526</v>
      </c>
      <c r="F11" s="35" t="n">
        <f aca="false">F5*Inputs!$N$88</f>
        <v>27240.3324</v>
      </c>
      <c r="G11" s="35" t="n">
        <f aca="false">G5*Inputs!$N$89</f>
        <v>31212.880875</v>
      </c>
    </row>
    <row r="12" customFormat="false" ht="15" hidden="false" customHeight="true" outlineLevel="0" collapsed="false">
      <c r="A12" s="13" t="s">
        <v>584</v>
      </c>
      <c r="B12" s="41" t="n">
        <f aca="false">Historicals!D49</f>
        <v>1158</v>
      </c>
      <c r="C12" s="35" t="n">
        <f aca="false">Historicals!F49+Historicals!H19+Inputs!$N$75*Historicals!H29</f>
        <v>4580.19462137297</v>
      </c>
      <c r="D12" s="35" t="n">
        <f aca="false">D5*Inputs!$N$90</f>
        <v>9763.56</v>
      </c>
      <c r="E12" s="35" t="n">
        <f aca="false">E5*Inputs!$N$91</f>
        <v>13452.016</v>
      </c>
      <c r="F12" s="35" t="n">
        <f aca="false">F5*Inputs!$N$92</f>
        <v>15890.1939</v>
      </c>
      <c r="G12" s="35" t="n">
        <f aca="false">G5*Inputs!$N$93</f>
        <v>17025.20775</v>
      </c>
    </row>
    <row r="13" customFormat="false" ht="15" hidden="false" customHeight="true" outlineLevel="0" collapsed="false">
      <c r="A13" s="13" t="s">
        <v>585</v>
      </c>
      <c r="B13" s="41" t="n">
        <f aca="false">Historicals!D39</f>
        <v>568</v>
      </c>
      <c r="C13" s="35" t="n">
        <f aca="false">Historicals!F39+Historicals!H9+Inputs!$N$75*Historicals!H25</f>
        <v>8453.09766454352</v>
      </c>
      <c r="D13" s="35" t="n">
        <f aca="false">D5*Inputs!$N$94</f>
        <v>18442.28</v>
      </c>
      <c r="E13" s="35" t="n">
        <f aca="false">E5*Inputs!$N$95</f>
        <v>26904.032</v>
      </c>
      <c r="F13" s="35" t="n">
        <f aca="false">F5*Inputs!$N$96</f>
        <v>34050.4155</v>
      </c>
      <c r="G13" s="35" t="n">
        <f aca="false">G5*Inputs!$N$97</f>
        <v>42563.019375</v>
      </c>
    </row>
    <row r="14" customFormat="false" ht="15" hidden="false" customHeight="true" outlineLevel="0" collapsed="false">
      <c r="A14" s="13" t="s">
        <v>586</v>
      </c>
      <c r="B14" s="41" t="n">
        <f aca="false">Historicals!D40</f>
        <v>1412</v>
      </c>
      <c r="C14" s="35" t="n">
        <f aca="false">Historicals!F40+Historicals!H10-Inputs!$B$37+Inputs!$N$75*(Historicals!H10-Inputs!$B$37)/Historicals!H5</f>
        <v>5358.27742392074</v>
      </c>
      <c r="D14" s="35" t="n">
        <f aca="false">D5*Inputs!$N$98</f>
        <v>8678.72</v>
      </c>
      <c r="E14" s="35" t="n">
        <f aca="false">E5*Inputs!$N$99</f>
        <v>11770.514</v>
      </c>
      <c r="F14" s="35" t="n">
        <f aca="false">F5*Inputs!$N$100</f>
        <v>13620.1662</v>
      </c>
      <c r="G14" s="35" t="n">
        <f aca="false">G5*Inputs!$N$101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1/(1+Inputs!$B$19+Inputs!$N$104)^1</f>
        <v>0.892857142857143</v>
      </c>
      <c r="E21" s="53" t="n">
        <f aca="false">1/(1+Inputs!$B$19+Inputs!$N$104)^2</f>
        <v>0.79719387755102</v>
      </c>
      <c r="F21" s="53" t="n">
        <f aca="false">1/(1+Inputs!$B$19+Inputs!$N$104)^3</f>
        <v>0.711780247813411</v>
      </c>
      <c r="G21" s="53" t="n">
        <f aca="false">1/(1+Inputs!$B$19+Inputs!$N$104)^4</f>
        <v>0.635518078404831</v>
      </c>
    </row>
    <row r="22" customFormat="false" ht="15" hidden="false" customHeight="true" outlineLevel="0" collapsed="false">
      <c r="A22" s="13" t="s">
        <v>593</v>
      </c>
      <c r="C22" s="35" t="n">
        <f aca="false">Inputs!B$69+Inputs!$B$47*Inputs!$B$46</f>
        <v>11231</v>
      </c>
      <c r="D22" s="35" t="n">
        <f aca="false">Inputs!C$69+Inputs!$B$47*(1-Inputs!$B$46)+Inputs!$B$70*Inputs!$N$109</f>
        <v>97550</v>
      </c>
      <c r="E22" s="35" t="n">
        <f aca="false">Inputs!D$69+Inputs!$B$70*Inputs!$N$110</f>
        <v>107338.25</v>
      </c>
      <c r="F22" s="35" t="n">
        <f aca="false">Inputs!E$69+Inputs!$B$70*Inputs!$N$111</f>
        <v>117031.375</v>
      </c>
      <c r="G22" s="35" t="n">
        <f aca="false">Inputs!F$69+Inputs!$B$70*Inputs!$N$112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Inputs!$N$107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3414.9030517903</v>
      </c>
      <c r="E55" s="35" t="n">
        <f aca="false">MAX(0,E80-E81)*Inputs!$B$20</f>
        <v>3960.02368401136</v>
      </c>
      <c r="F55" s="35" t="n">
        <f aca="false">MAX(0,F80-F81)*Inputs!$B$20</f>
        <v>4888.07332808658</v>
      </c>
      <c r="G55" s="35" t="n">
        <f aca="false">MAX(0,G80-G81)*Inputs!$B$20</f>
        <v>6277.2053779882</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20683.6710517903</v>
      </c>
      <c r="E58" s="35" t="n">
        <f aca="false">E53+E55+E56-E57</f>
        <v>39370.8076840114</v>
      </c>
      <c r="F58" s="35" t="n">
        <f aca="false">F53+F55+F56-F57</f>
        <v>61607.7665280866</v>
      </c>
      <c r="G58" s="35" t="n">
        <f aca="false">G53+G55+G56-G57</f>
        <v>82909.3103529882</v>
      </c>
    </row>
    <row r="59" customFormat="false" ht="15" hidden="false" customHeight="true" outlineLevel="0" collapsed="false">
      <c r="A59" s="13" t="s">
        <v>625</v>
      </c>
      <c r="C59" s="35" t="n">
        <f aca="false">C58*Inputs!$B$58</f>
        <v>4617.7799522293</v>
      </c>
      <c r="D59" s="35" t="n">
        <f aca="false">D58*Inputs!$B$58</f>
        <v>14892.243157289</v>
      </c>
      <c r="E59" s="35" t="n">
        <f aca="false">E58*Inputs!$B$58</f>
        <v>28346.9815324882</v>
      </c>
      <c r="F59" s="35" t="n">
        <f aca="false">F58*Inputs!$B$58</f>
        <v>44357.5919002223</v>
      </c>
      <c r="G59" s="35" t="n">
        <f aca="false">G58*Inputs!$B$58</f>
        <v>59694.7034541515</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641.534589437341</v>
      </c>
      <c r="E63" s="35" t="n">
        <f aca="false">MAX(0,E59-E61)*Inputs!$B$59</f>
        <v>1700.81889194929</v>
      </c>
      <c r="F63" s="35" t="n">
        <f aca="false">MAX(0,F59-F61)*Inputs!$B$59</f>
        <v>2661.45551401334</v>
      </c>
      <c r="G63" s="35" t="n">
        <f aca="false">MAX(0,G59-G61)*Inputs!$B$59</f>
        <v>3581.68220724909</v>
      </c>
    </row>
    <row r="64" customFormat="false" ht="15" hidden="false" customHeight="true" outlineLevel="0" collapsed="false">
      <c r="A64" s="13" t="s">
        <v>630</v>
      </c>
      <c r="C64" s="35" t="n">
        <f aca="false">C58-C63</f>
        <v>6136.51646985139</v>
      </c>
      <c r="D64" s="35" t="n">
        <f aca="false">D58-D63</f>
        <v>20042.136462353</v>
      </c>
      <c r="E64" s="35" t="n">
        <f aca="false">E58-E63</f>
        <v>37669.9887920621</v>
      </c>
      <c r="F64" s="35" t="n">
        <f aca="false">F58-F63</f>
        <v>58946.3110140732</v>
      </c>
      <c r="G64" s="35" t="n">
        <f aca="false">G58-G63</f>
        <v>79327.6281457391</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3517.78342402915</v>
      </c>
      <c r="E68" s="35" t="n">
        <f aca="false">MAX(0,E64-E66)*Inputs!$B$55</f>
        <v>7910.69764633304</v>
      </c>
      <c r="F68" s="35" t="n">
        <f aca="false">MAX(0,F64-F66)*Inputs!$B$55</f>
        <v>12378.7253129554</v>
      </c>
      <c r="G68" s="35" t="n">
        <f aca="false">MAX(0,G64-G66)*Inputs!$B$55</f>
        <v>16658.8019106052</v>
      </c>
    </row>
    <row r="69" customFormat="false" ht="15" hidden="false" customHeight="true" outlineLevel="0" collapsed="false">
      <c r="A69" s="10" t="s">
        <v>635</v>
      </c>
      <c r="C69" s="36" t="n">
        <f aca="false">IF(Inputs!$N$105=0,MAX(0,C53+C55)*Inputs!B$66,IF(Inputs!$N$105=2,MAX(0,C58)*Inputs!$N$106,C63+C68))</f>
        <v>1603.39581674629</v>
      </c>
      <c r="D69" s="36" t="n">
        <f aca="false">IF(Inputs!$N$105=0,MAX(0,D53+D55)*Inputs!C$66,IF(Inputs!$N$105=2,MAX(0,D58)*Inputs!$N$106,D63+D68))</f>
        <v>5170.91776294757</v>
      </c>
      <c r="E69" s="36" t="n">
        <f aca="false">IF(Inputs!$N$105=0,MAX(0,E53+E55)*Inputs!D$66,IF(Inputs!$N$105=2,MAX(0,E58)*Inputs!$N$106,E63+E68))</f>
        <v>9842.70192100285</v>
      </c>
      <c r="F69" s="36" t="n">
        <f aca="false">IF(Inputs!$N$105=0,MAX(0,F53+F55)*Inputs!E$66,IF(Inputs!$N$105=2,MAX(0,F58)*Inputs!$N$106,F63+F68))</f>
        <v>15401.9416320216</v>
      </c>
      <c r="G69" s="36" t="n">
        <f aca="false">IF(Inputs!$N$105=0,MAX(0,G53+G55)*Inputs!F$66,IF(Inputs!$N$105=2,MAX(0,G58)*Inputs!$N$106,G63+G68))</f>
        <v>20727.3275882471</v>
      </c>
    </row>
    <row r="70" customFormat="false" ht="15" hidden="false" customHeight="true" outlineLevel="0" collapsed="false">
      <c r="A70" s="13" t="s">
        <v>636</v>
      </c>
      <c r="C70" s="16" t="n">
        <f aca="false">IF(C58&gt;0,MIN(1,C69/C58),0)</f>
        <v>0.25</v>
      </c>
      <c r="D70" s="16" t="n">
        <f aca="false">IF(D58&gt;0,MIN(1,D69/D58),0)</f>
        <v>0.25</v>
      </c>
      <c r="E70" s="16" t="n">
        <f aca="false">IF(E58&gt;0,MIN(1,E69/E58),0)</f>
        <v>0.25</v>
      </c>
      <c r="F70" s="16" t="n">
        <f aca="false">IF(F58&gt;0,MIN(1,F69/F58),0)</f>
        <v>0.25</v>
      </c>
      <c r="G70" s="16" t="n">
        <f aca="false">IF(G58&gt;0,MIN(1,G69/G58),0)</f>
        <v>0.25</v>
      </c>
    </row>
    <row r="71" customFormat="false" ht="15" hidden="false" customHeight="true" outlineLevel="0" collapsed="false">
      <c r="A71" s="13" t="s">
        <v>637</v>
      </c>
      <c r="C71" s="35" t="n">
        <f aca="false">C53+C55-C69</f>
        <v>4810.18745023886</v>
      </c>
      <c r="D71" s="35" t="n">
        <f aca="false">D53+D55-D69</f>
        <v>15512.7532888427</v>
      </c>
      <c r="E71" s="35" t="n">
        <f aca="false">E53+E55-E69</f>
        <v>29528.1057630085</v>
      </c>
      <c r="F71" s="35" t="n">
        <f aca="false">F53+F55-F69</f>
        <v>46205.8248960649</v>
      </c>
      <c r="G71" s="35" t="n">
        <f aca="false">G53+G55-G69</f>
        <v>62181.9827647412</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9849.12207161182</v>
      </c>
      <c r="D75" s="36" t="n">
        <f aca="false">D53+D72+D52+D55-D69-D51+D73+D74</f>
        <v>21804.8252888427</v>
      </c>
      <c r="E75" s="36" t="n">
        <f aca="false">E53+E72+E52+E55-E69-E51+E73+E74</f>
        <v>37121.9857630085</v>
      </c>
      <c r="F75" s="36" t="n">
        <f aca="false">F53+F72+F52+F55-F69-F51+F73+F74</f>
        <v>55565.2819960649</v>
      </c>
      <c r="G75" s="36" t="n">
        <f aca="false">G53+G72+G52+G55-G69-G51+G73+G74</f>
        <v>72676.4537147412</v>
      </c>
    </row>
    <row r="76" customFormat="false" ht="15" hidden="false" customHeight="true" outlineLevel="0" collapsed="false">
      <c r="A76" s="10" t="s">
        <v>642</v>
      </c>
      <c r="C76" s="36" t="n">
        <f aca="false">C53+C52-(C69-C55*C70)-C51+C73+C74</f>
        <v>795.654012738858</v>
      </c>
      <c r="D76" s="36" t="n">
        <f aca="false">D53+D52-(D69-D55*D70)-D51+D73+D74</f>
        <v>9480.088</v>
      </c>
      <c r="E76" s="36" t="n">
        <f aca="false">E53+E52-(E69-E55*E70)-E51+E73+E74</f>
        <v>20699.952</v>
      </c>
      <c r="F76" s="36" t="n">
        <f aca="false">F53+F52-(F69-F55*F70)-F51+F73+F74</f>
        <v>36009.0331</v>
      </c>
      <c r="G76" s="36" t="n">
        <f aca="false">G53+G52-(G69-G55*G70)-G51+G73+G74</f>
        <v>50943.34193125</v>
      </c>
    </row>
    <row r="77" customFormat="false" ht="15" hidden="false" customHeight="true" outlineLevel="0" collapsed="false">
      <c r="A77" s="13" t="s">
        <v>643</v>
      </c>
      <c r="C77" s="16" t="n">
        <f aca="false">IFERROR(C76/C49,0)</f>
        <v>0.0146685965255495</v>
      </c>
      <c r="D77" s="16" t="n">
        <f aca="false">IFERROR(D76/D49,0)</f>
        <v>0.0873869695070241</v>
      </c>
      <c r="E77" s="16" t="n">
        <f aca="false">IFERROR(E76/E49,0)</f>
        <v>0.123103939216248</v>
      </c>
      <c r="F77" s="16" t="n">
        <f aca="false">IFERROR(F76/F49,0)</f>
        <v>0.158628166079207</v>
      </c>
      <c r="G77" s="16" t="n">
        <f aca="false">IFERROR(G76/G49,0)</f>
        <v>0.179533816019073</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136596.122071612</v>
      </c>
      <c r="E80" s="35" t="n">
        <f aca="false">D85</f>
        <v>158400.947360455</v>
      </c>
      <c r="F80" s="35" t="n">
        <f aca="false">E85</f>
        <v>195522.933123463</v>
      </c>
      <c r="G80" s="35" t="n">
        <f aca="false">F85</f>
        <v>251088.215119528</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4751.12207161182</v>
      </c>
      <c r="D82" s="35" t="n">
        <f aca="false">D75</f>
        <v>21804.8252888427</v>
      </c>
      <c r="E82" s="35" t="n">
        <f aca="false">E75</f>
        <v>37121.9857630085</v>
      </c>
      <c r="F82" s="35" t="n">
        <f aca="false">F75</f>
        <v>55565.2819960649</v>
      </c>
      <c r="G82" s="35" t="n">
        <f aca="false">G75</f>
        <v>72676.4537147412</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136596.122071612</v>
      </c>
      <c r="D85" s="36" t="n">
        <f aca="false">D80+D82+D83+D84</f>
        <v>158400.947360455</v>
      </c>
      <c r="E85" s="36" t="n">
        <f aca="false">E80+E82+E83+E84</f>
        <v>195522.933123463</v>
      </c>
      <c r="F85" s="36" t="n">
        <f aca="false">F80+F82+F83+F84</f>
        <v>251088.215119528</v>
      </c>
      <c r="G85" s="36" t="n">
        <f aca="false">G80+G82+G83+G84</f>
        <v>323764.668834269</v>
      </c>
    </row>
    <row r="86" customFormat="false" ht="15" hidden="false" customHeight="true" outlineLevel="0" collapsed="false">
      <c r="A86" s="13" t="s">
        <v>653</v>
      </c>
      <c r="C86" s="35" t="n">
        <f aca="false">MIN(C80-C81,C85)</f>
        <v>131845</v>
      </c>
      <c r="D86" s="35" t="n">
        <f aca="false">MIN(D80-D81,D85)</f>
        <v>136596.122071612</v>
      </c>
      <c r="E86" s="35" t="n">
        <f aca="false">MIN(E80-E81,E85)</f>
        <v>158400.947360455</v>
      </c>
      <c r="F86" s="35" t="n">
        <f aca="false">MIN(F80-F81,F85)</f>
        <v>195522.933123463</v>
      </c>
      <c r="G86" s="35" t="n">
        <f aca="false">MIN(G80-G81,G85)</f>
        <v>251088.215119528</v>
      </c>
    </row>
    <row r="87" customFormat="false" ht="15" hidden="false" customHeight="true" outlineLevel="0" collapsed="false">
      <c r="A87" s="13" t="s">
        <v>654</v>
      </c>
      <c r="C87" s="35" t="n">
        <f aca="false">C86-Inputs!$B$29</f>
        <v>126845</v>
      </c>
      <c r="D87" s="35" t="n">
        <f aca="false">D86-Inputs!$B$29</f>
        <v>131596.122071612</v>
      </c>
      <c r="E87" s="35" t="n">
        <f aca="false">E86-Inputs!$B$29</f>
        <v>153400.947360455</v>
      </c>
      <c r="F87" s="35" t="n">
        <f aca="false">F86-Inputs!$B$29</f>
        <v>190522.933123463</v>
      </c>
      <c r="G87" s="35" t="n">
        <f aca="false">G86-Inputs!$B$29</f>
        <v>246088.215119528</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136596.122071612</v>
      </c>
      <c r="D100" s="35" t="n">
        <f aca="false">D85+SUM($C97:D97)+SUM($C98:D98)-SUM($C99:D99)</f>
        <v>158400.947360455</v>
      </c>
      <c r="E100" s="35" t="n">
        <f aca="false">E85+SUM($C97:E97)+SUM($C98:E98)-SUM($C99:E99)</f>
        <v>195522.933123463</v>
      </c>
      <c r="F100" s="35" t="n">
        <f aca="false">F85+SUM($C97:F97)+SUM($C98:F98)-SUM($C99:F99)</f>
        <v>251088.215119528</v>
      </c>
      <c r="G100" s="35" t="n">
        <f aca="false">G85+SUM($C97:G97)+SUM($C98:G98)-SUM($C99:G99)</f>
        <v>323764.668834269</v>
      </c>
    </row>
    <row r="101" customFormat="false" ht="15" hidden="false" customHeight="true" outlineLevel="0" collapsed="false">
      <c r="A101" s="13" t="s">
        <v>668</v>
      </c>
      <c r="C101" s="35" t="n">
        <f aca="false">MIN(C80-C81+0+C97,C100)</f>
        <v>131845</v>
      </c>
      <c r="D101" s="35" t="n">
        <f aca="false">MIN(D80-D81+SUM($C97:C97)+SUM($C98:C98)-SUM($C99:C99)+D97,D100)</f>
        <v>136596.122071612</v>
      </c>
      <c r="E101" s="35" t="n">
        <f aca="false">MIN(E80-E81+SUM($C97:D97)+SUM($C98:D98)-SUM($C99:D99)+E97,E100)</f>
        <v>158400.947360455</v>
      </c>
      <c r="F101" s="35" t="n">
        <f aca="false">MIN(F80-F81+SUM($C97:E97)+SUM($C98:E98)-SUM($C99:E99)+F97,F100)</f>
        <v>195522.933123463</v>
      </c>
      <c r="G101" s="35" t="n">
        <f aca="false">MIN(G80-G81+SUM($C97:F97)+SUM($C98:F98)-SUM($C99:F99)+G97,G100)</f>
        <v>251088.215119528</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3414.9030517903</v>
      </c>
      <c r="E111" s="35" t="n">
        <f aca="false">MAX(0,E136-E137)*Inputs!$B$20</f>
        <v>3972.81394761136</v>
      </c>
      <c r="F111" s="35" t="n">
        <f aca="false">MAX(0,F136-F137)*Inputs!$B$20</f>
        <v>4948.96621091658</v>
      </c>
      <c r="G111" s="35" t="n">
        <f aca="false">MAX(0,G136-G137)*Inputs!$B$20</f>
        <v>6468.77650911501</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21449.1341557903</v>
      </c>
      <c r="E114" s="35" t="n">
        <f aca="false">E109+E111+E112-E113</f>
        <v>42319.0122616114</v>
      </c>
      <c r="F114" s="35" t="n">
        <f aca="false">F109+F111+F112-F113</f>
        <v>69545.1673519166</v>
      </c>
      <c r="G114" s="35" t="n">
        <f aca="false">G109+G111+G112-G113</f>
        <v>97744.90950574</v>
      </c>
    </row>
    <row r="115" customFormat="false" ht="15" hidden="false" customHeight="true" outlineLevel="0" collapsed="false">
      <c r="A115" s="13" t="s">
        <v>625</v>
      </c>
      <c r="C115" s="35" t="n">
        <f aca="false">C114*Inputs!$B$58</f>
        <v>4617.7799522293</v>
      </c>
      <c r="D115" s="35" t="n">
        <f aca="false">D114*Inputs!$B$58</f>
        <v>15443.376592169</v>
      </c>
      <c r="E115" s="35" t="n">
        <f aca="false">E114*Inputs!$B$58</f>
        <v>30469.6888283602</v>
      </c>
      <c r="F115" s="35" t="n">
        <f aca="false">F114*Inputs!$B$58</f>
        <v>50072.5204933799</v>
      </c>
      <c r="G115" s="35" t="n">
        <f aca="false">G114*Inputs!$B$58</f>
        <v>70376.3348441328</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674.602595530141</v>
      </c>
      <c r="E119" s="35" t="n">
        <f aca="false">MAX(0,E115-E117)*Inputs!$B$59</f>
        <v>1828.18132970161</v>
      </c>
      <c r="F119" s="35" t="n">
        <f aca="false">MAX(0,F115-F117)*Inputs!$B$59</f>
        <v>3004.3512296028</v>
      </c>
      <c r="G119" s="35" t="n">
        <f aca="false">MAX(0,G115-G117)*Inputs!$B$59</f>
        <v>4222.58009064797</v>
      </c>
    </row>
    <row r="120" customFormat="false" ht="15" hidden="false" customHeight="true" outlineLevel="0" collapsed="false">
      <c r="A120" s="13" t="s">
        <v>630</v>
      </c>
      <c r="C120" s="35" t="n">
        <f aca="false">C114-C119</f>
        <v>6136.51646985139</v>
      </c>
      <c r="D120" s="35" t="n">
        <f aca="false">D114-D119</f>
        <v>20774.5315602602</v>
      </c>
      <c r="E120" s="35" t="n">
        <f aca="false">E114-E119</f>
        <v>40490.8309319098</v>
      </c>
      <c r="F120" s="35" t="n">
        <f aca="false">F114-F119</f>
        <v>66540.8161223138</v>
      </c>
      <c r="G120" s="35" t="n">
        <f aca="false">G114-G119</f>
        <v>93522.3294150921</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3671.58639458966</v>
      </c>
      <c r="E124" s="35" t="n">
        <f aca="false">MAX(0,E120-E122)*Inputs!$B$55</f>
        <v>8503.07449570105</v>
      </c>
      <c r="F124" s="35" t="n">
        <f aca="false">MAX(0,F120-F122)*Inputs!$B$55</f>
        <v>13973.5713856859</v>
      </c>
      <c r="G124" s="35" t="n">
        <f aca="false">MAX(0,G120-G122)*Inputs!$B$55</f>
        <v>19639.6891771693</v>
      </c>
    </row>
    <row r="125" customFormat="false" ht="15" hidden="false" customHeight="true" outlineLevel="0" collapsed="false">
      <c r="A125" s="10" t="s">
        <v>635</v>
      </c>
      <c r="C125" s="36" t="n">
        <f aca="false">IF(Inputs!$N$105=0,MAX(0,C109+C111)*Inputs!B$66,IF(Inputs!$N$105=2,MAX(0,C114)*Inputs!$N$106,C119+C124))</f>
        <v>1603.39581674629</v>
      </c>
      <c r="D125" s="36" t="n">
        <f aca="false">IF(Inputs!$N$105=0,MAX(0,D109+D111)*Inputs!C$66,IF(Inputs!$N$105=2,MAX(0,D114)*Inputs!$N$106,D119+D124))</f>
        <v>5362.28353894757</v>
      </c>
      <c r="E125" s="36" t="n">
        <f aca="false">IF(Inputs!$N$105=0,MAX(0,E109+E111)*Inputs!D$66,IF(Inputs!$N$105=2,MAX(0,E114)*Inputs!$N$106,E119+E124))</f>
        <v>10579.7530654028</v>
      </c>
      <c r="F125" s="36" t="n">
        <f aca="false">IF(Inputs!$N$105=0,MAX(0,F109+F111)*Inputs!E$66,IF(Inputs!$N$105=2,MAX(0,F114)*Inputs!$N$106,F119+F124))</f>
        <v>17386.2918379791</v>
      </c>
      <c r="G125" s="36" t="n">
        <f aca="false">IF(Inputs!$N$105=0,MAX(0,G109+G111)*Inputs!F$66,IF(Inputs!$N$105=2,MAX(0,G114)*Inputs!$N$106,G119+G124))</f>
        <v>24436.227376435</v>
      </c>
    </row>
    <row r="126" customFormat="false" ht="15" hidden="false" customHeight="true" outlineLevel="0" collapsed="false">
      <c r="A126" s="13" t="s">
        <v>636</v>
      </c>
      <c r="C126" s="16" t="n">
        <f aca="false">IF(C114&gt;0,MIN(1,C125/C114),0)</f>
        <v>0.25</v>
      </c>
      <c r="D126" s="16" t="n">
        <f aca="false">IF(D114&gt;0,MIN(1,D125/D114),0)</f>
        <v>0.25</v>
      </c>
      <c r="E126" s="16" t="n">
        <f aca="false">IF(E114&gt;0,MIN(1,E125/E114),0)</f>
        <v>0.25</v>
      </c>
      <c r="F126" s="16" t="n">
        <f aca="false">IF(F114&gt;0,MIN(1,F125/F114),0)</f>
        <v>0.25</v>
      </c>
      <c r="G126" s="16" t="n">
        <f aca="false">IF(G114&gt;0,MIN(1,G125/G114),0)</f>
        <v>0.25</v>
      </c>
    </row>
    <row r="127" customFormat="false" ht="15" hidden="false" customHeight="true" outlineLevel="0" collapsed="false">
      <c r="A127" s="13" t="s">
        <v>637</v>
      </c>
      <c r="C127" s="35" t="n">
        <f aca="false">C109+C111-C125</f>
        <v>4810.18745023886</v>
      </c>
      <c r="D127" s="35" t="n">
        <f aca="false">D109+D111-D125</f>
        <v>16086.8506168427</v>
      </c>
      <c r="E127" s="35" t="n">
        <f aca="false">E109+E111-E125</f>
        <v>31739.2591962085</v>
      </c>
      <c r="F127" s="35" t="n">
        <f aca="false">F109+F111-F125</f>
        <v>52158.8755139374</v>
      </c>
      <c r="G127" s="35" t="n">
        <f aca="false">G109+G111-G125</f>
        <v>73308.682129305</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9849.12207161182</v>
      </c>
      <c r="D131" s="36" t="n">
        <f aca="false">D109+D128+D108+D111-D125-D107+D129+D130</f>
        <v>22316.4358328427</v>
      </c>
      <c r="E131" s="36" t="n">
        <f aca="false">E109+E128+E108+E111-E125-E107+E129+E130</f>
        <v>39046.0905322085</v>
      </c>
      <c r="F131" s="36" t="n">
        <f aca="false">F109+F128+F108+F111-F125-F107+F129+F130</f>
        <v>60792.4119279374</v>
      </c>
      <c r="G131" s="36" t="n">
        <f aca="false">G109+G128+G108+G111-G125-G107+G129+G130</f>
        <v>82566.476160805</v>
      </c>
    </row>
    <row r="132" customFormat="false" ht="15" hidden="false" customHeight="true" outlineLevel="0" collapsed="false">
      <c r="A132" s="10" t="s">
        <v>642</v>
      </c>
      <c r="C132" s="36" t="n">
        <f aca="false">C109+C108-(C125-C111*C126)-C107+C129+C130</f>
        <v>795.654012738858</v>
      </c>
      <c r="D132" s="36" t="n">
        <f aca="false">D109+D108-(D125-D111*D126)-D107+D129+D130</f>
        <v>9991.698544</v>
      </c>
      <c r="E132" s="36" t="n">
        <f aca="false">E109+E108-(E125-E111*E126)-E107+E129+E130</f>
        <v>22614.4640715</v>
      </c>
      <c r="F132" s="36" t="n">
        <f aca="false">F109+F108-(F125-F111*F126)-F107+F129+F130</f>
        <v>41190.49336975</v>
      </c>
      <c r="G132" s="36" t="n">
        <f aca="false">G109+G108-(G125-G111*G126)-G107+G129+G130</f>
        <v>60689.6860289688</v>
      </c>
    </row>
    <row r="133" customFormat="false" ht="15" hidden="false" customHeight="true" outlineLevel="0" collapsed="false">
      <c r="A133" s="13" t="s">
        <v>643</v>
      </c>
      <c r="C133" s="16" t="n">
        <f aca="false">IFERROR(C132/C105,0)</f>
        <v>0.0146685965255495</v>
      </c>
      <c r="D133" s="16" t="n">
        <f aca="false">IFERROR(D132/D105,0)</f>
        <v>0.0904744297711435</v>
      </c>
      <c r="E133" s="16" t="n">
        <f aca="false">IFERROR(E132/E105,0)</f>
        <v>0.128698244040861</v>
      </c>
      <c r="F133" s="16" t="n">
        <f aca="false">IFERROR(F132/F105,0)</f>
        <v>0.166471287810656</v>
      </c>
      <c r="G133" s="16" t="n">
        <f aca="false">IFERROR(G132/G105,0)</f>
        <v>0.188442067071894</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136596.122071612</v>
      </c>
      <c r="E136" s="35" t="n">
        <f aca="false">D141</f>
        <v>158912.557904455</v>
      </c>
      <c r="F136" s="35" t="n">
        <f aca="false">E141</f>
        <v>197958.648436663</v>
      </c>
      <c r="G136" s="35" t="n">
        <f aca="false">F141</f>
        <v>258751.0603646</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4751.12207161182</v>
      </c>
      <c r="D138" s="35" t="n">
        <f aca="false">D131</f>
        <v>22316.4358328427</v>
      </c>
      <c r="E138" s="35" t="n">
        <f aca="false">E131</f>
        <v>39046.0905322085</v>
      </c>
      <c r="F138" s="35" t="n">
        <f aca="false">F131</f>
        <v>60792.4119279374</v>
      </c>
      <c r="G138" s="35" t="n">
        <f aca="false">G131</f>
        <v>82566.476160805</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136596.122071612</v>
      </c>
      <c r="D141" s="36" t="n">
        <f aca="false">D136+D138+D139+D140</f>
        <v>158912.557904455</v>
      </c>
      <c r="E141" s="36" t="n">
        <f aca="false">E136+E138+E139+E140</f>
        <v>197958.648436663</v>
      </c>
      <c r="F141" s="36" t="n">
        <f aca="false">F136+F138+F139+F140</f>
        <v>258751.0603646</v>
      </c>
      <c r="G141" s="36" t="n">
        <f aca="false">G136+G138+G139+G140</f>
        <v>341317.536525406</v>
      </c>
    </row>
    <row r="142" customFormat="false" ht="15" hidden="false" customHeight="true" outlineLevel="0" collapsed="false">
      <c r="A142" s="13" t="s">
        <v>653</v>
      </c>
      <c r="C142" s="35" t="n">
        <f aca="false">MIN(C136-C137,C141)</f>
        <v>131845</v>
      </c>
      <c r="D142" s="35" t="n">
        <f aca="false">MIN(D136-D137,D141)</f>
        <v>136596.122071612</v>
      </c>
      <c r="E142" s="35" t="n">
        <f aca="false">MIN(E136-E137,E141)</f>
        <v>158912.557904455</v>
      </c>
      <c r="F142" s="35" t="n">
        <f aca="false">MIN(F136-F137,F141)</f>
        <v>197958.648436663</v>
      </c>
      <c r="G142" s="35" t="n">
        <f aca="false">MIN(G136-G137,G141)</f>
        <v>258751.0603646</v>
      </c>
    </row>
    <row r="143" customFormat="false" ht="15" hidden="false" customHeight="true" outlineLevel="0" collapsed="false">
      <c r="A143" s="13" t="s">
        <v>654</v>
      </c>
      <c r="C143" s="35" t="n">
        <f aca="false">C142-Inputs!$B$29</f>
        <v>126845</v>
      </c>
      <c r="D143" s="35" t="n">
        <f aca="false">D142-Inputs!$B$29</f>
        <v>131596.122071612</v>
      </c>
      <c r="E143" s="35" t="n">
        <f aca="false">E142-Inputs!$B$29</f>
        <v>153912.557904455</v>
      </c>
      <c r="F143" s="35" t="n">
        <f aca="false">F142-Inputs!$B$29</f>
        <v>192958.648436663</v>
      </c>
      <c r="G143" s="35" t="n">
        <f aca="false">G142-Inputs!$B$29</f>
        <v>253751.0603646</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136596.122071612</v>
      </c>
      <c r="D156" s="35" t="n">
        <f aca="false">D141+SUM($C153:D153)+SUM($C154:D154)-SUM($C155:D155)</f>
        <v>158912.557904455</v>
      </c>
      <c r="E156" s="35" t="n">
        <f aca="false">E141+SUM($C153:E153)+SUM($C154:E154)-SUM($C155:E155)</f>
        <v>197958.648436663</v>
      </c>
      <c r="F156" s="35" t="n">
        <f aca="false">F141+SUM($C153:F153)+SUM($C154:F154)-SUM($C155:F155)</f>
        <v>258751.0603646</v>
      </c>
      <c r="G156" s="35" t="n">
        <f aca="false">G141+SUM($C153:G153)+SUM($C154:G154)-SUM($C155:G155)</f>
        <v>341317.536525406</v>
      </c>
    </row>
    <row r="157" customFormat="false" ht="15" hidden="false" customHeight="true" outlineLevel="0" collapsed="false">
      <c r="A157" s="13" t="s">
        <v>668</v>
      </c>
      <c r="C157" s="35" t="n">
        <f aca="false">MIN(C136-C137+0+C153,C156)</f>
        <v>131845</v>
      </c>
      <c r="D157" s="35" t="n">
        <f aca="false">MIN(D136-D137+SUM($C153:C153)+SUM($C154:C154)-SUM($C155:C155)+D153,D156)</f>
        <v>136596.122071612</v>
      </c>
      <c r="E157" s="35" t="n">
        <f aca="false">MIN(E136-E137+SUM($C153:D153)+SUM($C154:D154)-SUM($C155:D155)+E153,E156)</f>
        <v>158912.557904455</v>
      </c>
      <c r="F157" s="35" t="n">
        <f aca="false">MIN(F136-F137+SUM($C153:E153)+SUM($C154:E154)-SUM($C155:E155)+F153,F156)</f>
        <v>197958.648436663</v>
      </c>
      <c r="G157" s="35" t="n">
        <f aca="false">MIN(G136-G137+SUM($C153:F153)+SUM($C154:F154)-SUM($C155:F155)+G153,G156)</f>
        <v>258751.0603646</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Inputs!$B$19+Inputs!$N$104</f>
        <v>0.12</v>
      </c>
      <c r="G162" s="16" t="n">
        <f aca="false">Inputs!$B$19+Inputs!$N$104</f>
        <v>0.12</v>
      </c>
    </row>
    <row r="163" customFormat="false" ht="15" hidden="false" customHeight="true" outlineLevel="0" collapsed="false">
      <c r="A163" s="13" t="s">
        <v>673</v>
      </c>
      <c r="F163" s="35" t="n">
        <f aca="false">G53*(1-G70)</f>
        <v>57474.07873125</v>
      </c>
      <c r="G163" s="35" t="n">
        <f aca="false">G109*(1-G126)</f>
        <v>68457.0997474688</v>
      </c>
    </row>
    <row r="164" customFormat="false" ht="15" hidden="false" customHeight="true" outlineLevel="0" collapsed="false">
      <c r="A164" s="13" t="s">
        <v>674</v>
      </c>
      <c r="F164" s="54" t="n">
        <f aca="false">Inputs!$N$102</f>
        <v>30</v>
      </c>
      <c r="G164" s="54" t="n">
        <f aca="false">Inputs!$N$102</f>
        <v>30</v>
      </c>
    </row>
    <row r="165" customFormat="false" ht="15" hidden="false" customHeight="true" outlineLevel="0" collapsed="false">
      <c r="A165" s="13" t="s">
        <v>675</v>
      </c>
      <c r="F165" s="35" t="n">
        <f aca="false">F163*F164</f>
        <v>1724222.3619375</v>
      </c>
      <c r="G165" s="35" t="n">
        <f aca="false">G163*G164</f>
        <v>2053712.99242406</v>
      </c>
    </row>
    <row r="166" customFormat="false" ht="15" hidden="false" customHeight="true" outlineLevel="0" collapsed="false">
      <c r="A166" s="13" t="s">
        <v>676</v>
      </c>
      <c r="F166" s="35" t="n">
        <f aca="false">F165*$G$21</f>
        <v>1095774.48220116</v>
      </c>
      <c r="G166" s="35" t="n">
        <f aca="false">G165*$G$21</f>
        <v>1305171.73454038</v>
      </c>
    </row>
    <row r="167" customFormat="false" ht="15" hidden="false" customHeight="true" outlineLevel="0" collapsed="false">
      <c r="A167" s="13" t="s">
        <v>677</v>
      </c>
      <c r="F167" s="35" t="n">
        <f aca="false">SUMPRODUCT(D76:G76,$D$21:$G$21)-F162*SUMPRODUCT(D81:G81,$D$21:$G$21)</f>
        <v>82972.1725608219</v>
      </c>
      <c r="G167" s="35" t="n">
        <f aca="false">SUMPRODUCT(D132:G132,$D$21:$G$21)-G162*SUMPRODUCT(D137:G137,$D$21:$G$21)</f>
        <v>94837.2439385831</v>
      </c>
    </row>
    <row r="168" customFormat="false" ht="15" hidden="false" customHeight="true" outlineLevel="0" collapsed="false">
      <c r="A168" s="13" t="s">
        <v>678</v>
      </c>
      <c r="F168" s="35" t="n">
        <f aca="false">F166+F167</f>
        <v>1178746.65476198</v>
      </c>
      <c r="G168" s="35" t="n">
        <f aca="false">G166+G167</f>
        <v>1400008.97847896</v>
      </c>
    </row>
    <row r="169" customFormat="false" ht="15" hidden="false" customHeight="true" outlineLevel="0" collapsed="false">
      <c r="A169" s="13" t="s">
        <v>679</v>
      </c>
      <c r="F169" s="35" t="n">
        <f aca="false">(G76-G74)*Inputs!$N$103*$G$21</f>
        <v>906511.613606711</v>
      </c>
      <c r="G169" s="35" t="n">
        <f aca="false">(G132-G130)*Inputs!$N$103*$G$21</f>
        <v>1079942.99403544</v>
      </c>
    </row>
    <row r="170" customFormat="false" ht="15" hidden="false" customHeight="true" outlineLevel="0" collapsed="false">
      <c r="A170" s="13" t="s">
        <v>680</v>
      </c>
      <c r="F170" s="35" t="n">
        <f aca="false">F167+F169</f>
        <v>989483.786167533</v>
      </c>
      <c r="G170" s="35" t="n">
        <f aca="false">G167+G169</f>
        <v>1174780.23797402</v>
      </c>
    </row>
    <row r="171" customFormat="false" ht="15" hidden="false" customHeight="true" outlineLevel="0" collapsed="false">
      <c r="A171" s="13" t="s">
        <v>681</v>
      </c>
      <c r="F171" s="35" t="n">
        <f aca="false">F168*Inputs!$B$21+F170*(1-Inputs!$B$21)</f>
        <v>1084115.22046476</v>
      </c>
      <c r="G171" s="35" t="n">
        <f aca="false">G168*Inputs!$B$21+G170*(1-Inputs!$B$21)</f>
        <v>1287394.60822649</v>
      </c>
    </row>
    <row r="172" customFormat="false" ht="15" hidden="false" customHeight="true" outlineLevel="0" collapsed="false">
      <c r="A172" s="13" t="s">
        <v>682</v>
      </c>
      <c r="F172" s="16" t="n">
        <f aca="false">IFERROR(F166/F168,0)</f>
        <v>0.929609834118616</v>
      </c>
      <c r="G172" s="16" t="n">
        <f aca="false">IFERROR(G166/G168,0)</f>
        <v>0.93225954590547</v>
      </c>
    </row>
    <row r="173" customFormat="false" ht="15" hidden="false" customHeight="true" outlineLevel="0" collapsed="false">
      <c r="A173" s="13" t="s">
        <v>683</v>
      </c>
      <c r="F173" s="16" t="n">
        <f aca="false">IFERROR(F169/F170,0)</f>
        <v>0.916146000853445</v>
      </c>
      <c r="G173" s="16" t="n">
        <f aca="false">IFERROR(G169/G170,0)</f>
        <v>0.919272353353393</v>
      </c>
    </row>
    <row r="174" customFormat="false" ht="15" hidden="false" customHeight="true" outlineLevel="0" collapsed="false">
      <c r="A174" s="13" t="s">
        <v>684</v>
      </c>
      <c r="F174" s="35" t="n">
        <f aca="false">C85</f>
        <v>136596.122071612</v>
      </c>
      <c r="G174" s="35" t="n">
        <f aca="false">C141</f>
        <v>136596.122071612</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1220711.34253637</v>
      </c>
      <c r="G176" s="34" t="n">
        <f aca="false">G171+G174+G175</f>
        <v>1423990.7302981</v>
      </c>
    </row>
    <row r="177" customFormat="false" ht="15" hidden="false" customHeight="true" outlineLevel="0" collapsed="false">
      <c r="A177" s="13" t="s">
        <v>687</v>
      </c>
      <c r="F177" s="35" t="n">
        <f aca="false">IF(F182="OK",F176,"unresolved")</f>
        <v>1220711.34253637</v>
      </c>
      <c r="G177" s="35" t="n">
        <f aca="false">IF(G182="OK",G176,"unresolved")</f>
        <v>1423990.7302981</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68.0552627714646</v>
      </c>
      <c r="G179" s="25" t="n">
        <f aca="false">IF(G182="OK",G176/G178,"n/a")</f>
        <v>79.3881894578036</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68.0552627714646</v>
      </c>
      <c r="G184" s="25" t="n">
        <f aca="false">IF(NOT(ISNUMBER(G179)),"unresolved",IF(G180=0,G179,(G176+G180/(1+G162)^IF(ISNUMBER(G149),MAX(0,G149-2027),0))/(G178+(G180/(1-Inputs!$B$31))/(G179*(1+G162)^IF(ISNUMBER(G149),MAX(0,G149-2027),0)*(1-0)))))</f>
        <v>79.3881894578036</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68.0552627714646</v>
      </c>
      <c r="G185" s="25" t="n">
        <f aca="false">IF(NOT(ISNUMBER(G179)),"unresolved",IF(G180=0,G179,(G176+G180/(1+G162)^IF(ISNUMBER(G149),MAX(0,G149-2027),0))/(G178+(G180/(1-Inputs!$B$31))/(G179*(1+G162)^IF(ISNUMBER(G149),MAX(0,G149-2027),0)*(1-Inputs!$B$30)))))</f>
        <v>79.3881894578036</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68.0552627714646</v>
      </c>
      <c r="G186" s="25" t="n">
        <f aca="false">IF(NOT(ISNUMBER(G179)),"unresolved",IF(G180=0,G179,(G176+G180/(1+G162)^IF(ISNUMBER(G149),MAX(0,G149-2027),0))/(G178+(G180/(1-Inputs!$B$31))/(G179*(1+G162)^IF(ISNUMBER(G149),MAX(0,G149-2027),0)*(1-0.3)))))</f>
        <v>79.3881894578036</v>
      </c>
    </row>
    <row r="187" customFormat="false" ht="15" hidden="false" customHeight="true" outlineLevel="0" collapsed="false">
      <c r="A187" s="13" t="s">
        <v>696</v>
      </c>
      <c r="F187" s="25" t="n">
        <f aca="false">F185</f>
        <v>68.0552627714646</v>
      </c>
      <c r="G187" s="25" t="n">
        <f aca="false">G185</f>
        <v>79.3881894578036</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68.0552627714646</v>
      </c>
      <c r="G189" s="12" t="n">
        <f aca="false">IF(ISNUMBER(G187),G187/(1+Inputs!$B$25)^G188,"unresolved")</f>
        <v>79.3881894578036</v>
      </c>
    </row>
    <row r="190" customFormat="false" ht="15" hidden="false" customHeight="true" outlineLevel="0" collapsed="false">
      <c r="A190" s="13" t="s">
        <v>699</v>
      </c>
      <c r="F190" s="25" t="n">
        <f aca="false">IF(F180=0,F189,"unresolved")</f>
        <v>68.0552627714646</v>
      </c>
      <c r="G190" s="25" t="n">
        <f aca="false">IF(G180=0,G189,"unresolved")</f>
        <v>79.3881894578036</v>
      </c>
    </row>
    <row r="191" customFormat="false" ht="15" hidden="false" customHeight="true" outlineLevel="0" collapsed="false">
      <c r="A191" s="13" t="s">
        <v>700</v>
      </c>
      <c r="F191" s="35" t="n">
        <f aca="false">IF(ISNUMBER(F179),F176+F180/(1+F162)^IF(ISNUMBER(G93),MAX(0,G93-2027),0),"unresolved")</f>
        <v>1220711.34253637</v>
      </c>
      <c r="G191" s="35" t="n">
        <f aca="false">IF(ISNUMBER(G179),G176+G180/(1+G162)^IF(ISNUMBER(G149),MAX(0,G149-2027),0),"unresolved")</f>
        <v>1423990.7302981</v>
      </c>
    </row>
    <row r="192" customFormat="false" ht="15" hidden="false" customHeight="true" outlineLevel="0" collapsed="false">
      <c r="A192" s="13" t="s">
        <v>701</v>
      </c>
      <c r="F192" s="28" t="n">
        <f aca="false">IFERROR(F191/D49,"n/a")</f>
        <v>11.2524551319676</v>
      </c>
      <c r="G192" s="28" t="n">
        <f aca="false">IFERROR(G191/D105,"n/a")</f>
        <v>12.8941789782559</v>
      </c>
    </row>
    <row r="193" customFormat="false" ht="15" hidden="false" customHeight="true" outlineLevel="0" collapsed="false">
      <c r="A193" s="13" t="s">
        <v>702</v>
      </c>
      <c r="F193" s="25" t="n">
        <f aca="false">(F168+F174)/F178</f>
        <v>73.3310121670235</v>
      </c>
      <c r="G193" s="25" t="n">
        <f aca="false">(G168+G174)/G178</f>
        <v>85.6664964517001</v>
      </c>
    </row>
    <row r="194" customFormat="false" ht="15" hidden="false" customHeight="true" outlineLevel="0" collapsed="false">
      <c r="A194" s="13" t="s">
        <v>703</v>
      </c>
      <c r="F194" s="25" t="n">
        <f aca="false">(F170+F174)/F178</f>
        <v>62.7795133759057</v>
      </c>
      <c r="G194" s="25" t="n">
        <f aca="false">(G170+G174)/G178</f>
        <v>73.1098824639072</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718</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Historicals!F35+(Inputs!$B$5+Inputs!$O$75)</f>
        <v>54242</v>
      </c>
      <c r="D5" s="35" t="n">
        <f aca="false">C5*(1+Inputs!$O$77)</f>
        <v>108484</v>
      </c>
      <c r="E5" s="35" t="n">
        <f aca="false">D5*(1+Inputs!$O$78)</f>
        <v>168150.2</v>
      </c>
      <c r="F5" s="35" t="n">
        <f aca="false">E5*(1+Inputs!$O$79)</f>
        <v>227002.77</v>
      </c>
      <c r="G5" s="35" t="n">
        <f aca="false">F5*(1+Inputs!$O$80)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Historicals!F51+(Inputs!$B$5+Inputs!$O$75)*Historicals!F51/Historicals!F35</f>
        <v>10731.163207663</v>
      </c>
      <c r="D7" s="35" t="n">
        <f aca="false">D5*Inputs!$O$76</f>
        <v>21696.8</v>
      </c>
      <c r="E7" s="35" t="n">
        <f aca="false">E5*Inputs!$O$76</f>
        <v>33630.04</v>
      </c>
      <c r="F7" s="35" t="n">
        <f aca="false">F5*Inputs!$O$76</f>
        <v>45400.554</v>
      </c>
      <c r="G7" s="35" t="n">
        <f aca="false">G5*Inputs!$O$76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Historicals!F36+Historicals!H6+Inputs!$O$75*Inputs!$O$81</f>
        <v>28258</v>
      </c>
      <c r="D9" s="35" t="n">
        <f aca="false">(C9-Inputs!$O$113)*(1+Inputs!$O$82)</f>
        <v>48038.6</v>
      </c>
      <c r="E9" s="35" t="n">
        <f aca="false">D9*(1+Inputs!$O$83)</f>
        <v>69655.97</v>
      </c>
      <c r="F9" s="35" t="n">
        <f aca="false">E9*(1+Inputs!$O$84)</f>
        <v>90552.761</v>
      </c>
      <c r="G9" s="35" t="n">
        <f aca="false">F9*(1+Inputs!$O$85)</f>
        <v>108663.3132</v>
      </c>
    </row>
    <row r="10" customFormat="false" ht="15" hidden="false" customHeight="true" outlineLevel="0" collapsed="false">
      <c r="A10" s="13" t="s">
        <v>219</v>
      </c>
      <c r="B10" s="41" t="n">
        <f aca="false">Historicals!D36</f>
        <v>7326</v>
      </c>
      <c r="C10" s="35" t="n">
        <f aca="false">Historicals!F36+Historicals!H6+MAX(Inputs!$O$75*Inputs!$O$81,Inputs!$O$108*C22)</f>
        <v>28258</v>
      </c>
      <c r="D10" s="35" t="n">
        <f aca="false">MAX(D9,Inputs!$O$108*D22)</f>
        <v>48038.6</v>
      </c>
      <c r="E10" s="35" t="n">
        <f aca="false">MAX(E9,Inputs!$O$108*E22)</f>
        <v>69655.97</v>
      </c>
      <c r="F10" s="35" t="n">
        <f aca="false">MAX(F9,Inputs!$O$108*F22)</f>
        <v>90552.761</v>
      </c>
      <c r="G10" s="35" t="n">
        <f aca="false">MAX(G9,Inputs!$O$108*G22)</f>
        <v>108663.3132</v>
      </c>
    </row>
    <row r="11" customFormat="false" ht="15" hidden="false" customHeight="true" outlineLevel="0" collapsed="false">
      <c r="A11" s="13" t="s">
        <v>220</v>
      </c>
      <c r="B11" s="41" t="n">
        <f aca="false">Historicals!D37</f>
        <v>1839</v>
      </c>
      <c r="C11" s="35" t="n">
        <f aca="false">Historicals!F37+Historicals!H7+Inputs!$O$75*Historicals!H24</f>
        <v>6982.0728945506</v>
      </c>
      <c r="D11" s="35" t="n">
        <f aca="false">D5*Inputs!$O$86</f>
        <v>15187.76</v>
      </c>
      <c r="E11" s="35" t="n">
        <f aca="false">E5*Inputs!$O$87</f>
        <v>21859.526</v>
      </c>
      <c r="F11" s="35" t="n">
        <f aca="false">F5*Inputs!$O$88</f>
        <v>27240.3324</v>
      </c>
      <c r="G11" s="35" t="n">
        <f aca="false">G5*Inputs!$O$89</f>
        <v>31212.880875</v>
      </c>
    </row>
    <row r="12" customFormat="false" ht="15" hidden="false" customHeight="true" outlineLevel="0" collapsed="false">
      <c r="A12" s="13" t="s">
        <v>584</v>
      </c>
      <c r="B12" s="41" t="n">
        <f aca="false">Historicals!D49</f>
        <v>1158</v>
      </c>
      <c r="C12" s="35" t="n">
        <f aca="false">Historicals!F49+Historicals!H19+Inputs!$O$75*Historicals!H29</f>
        <v>4580.19462137297</v>
      </c>
      <c r="D12" s="35" t="n">
        <f aca="false">D5*Inputs!$O$90</f>
        <v>9763.56</v>
      </c>
      <c r="E12" s="35" t="n">
        <f aca="false">E5*Inputs!$O$91</f>
        <v>13452.016</v>
      </c>
      <c r="F12" s="35" t="n">
        <f aca="false">F5*Inputs!$O$92</f>
        <v>15890.1939</v>
      </c>
      <c r="G12" s="35" t="n">
        <f aca="false">G5*Inputs!$O$93</f>
        <v>17025.20775</v>
      </c>
    </row>
    <row r="13" customFormat="false" ht="15" hidden="false" customHeight="true" outlineLevel="0" collapsed="false">
      <c r="A13" s="13" t="s">
        <v>585</v>
      </c>
      <c r="B13" s="41" t="n">
        <f aca="false">Historicals!D39</f>
        <v>568</v>
      </c>
      <c r="C13" s="35" t="n">
        <f aca="false">Historicals!F39+Historicals!H9+Inputs!$O$75*Historicals!H25</f>
        <v>8453.09766454352</v>
      </c>
      <c r="D13" s="35" t="n">
        <f aca="false">D5*Inputs!$O$94</f>
        <v>18442.28</v>
      </c>
      <c r="E13" s="35" t="n">
        <f aca="false">E5*Inputs!$O$95</f>
        <v>26904.032</v>
      </c>
      <c r="F13" s="35" t="n">
        <f aca="false">F5*Inputs!$O$96</f>
        <v>34050.4155</v>
      </c>
      <c r="G13" s="35" t="n">
        <f aca="false">G5*Inputs!$O$97</f>
        <v>42563.019375</v>
      </c>
    </row>
    <row r="14" customFormat="false" ht="15" hidden="false" customHeight="true" outlineLevel="0" collapsed="false">
      <c r="A14" s="13" t="s">
        <v>586</v>
      </c>
      <c r="B14" s="41" t="n">
        <f aca="false">Historicals!D40</f>
        <v>1412</v>
      </c>
      <c r="C14" s="35" t="n">
        <f aca="false">Historicals!F40+Historicals!H10-Inputs!$B$37+Inputs!$O$75*(Historicals!H10-Inputs!$B$37)/Historicals!H5</f>
        <v>5358.27742392074</v>
      </c>
      <c r="D14" s="35" t="n">
        <f aca="false">D5*Inputs!$O$98</f>
        <v>8678.72</v>
      </c>
      <c r="E14" s="35" t="n">
        <f aca="false">E5*Inputs!$O$99</f>
        <v>11770.514</v>
      </c>
      <c r="F14" s="35" t="n">
        <f aca="false">F5*Inputs!$O$100</f>
        <v>13620.1662</v>
      </c>
      <c r="G14" s="35" t="n">
        <f aca="false">G5*Inputs!$O$101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1/(1+Inputs!$B$19+Inputs!$O$104)^1</f>
        <v>0.892857142857143</v>
      </c>
      <c r="E21" s="53" t="n">
        <f aca="false">1/(1+Inputs!$B$19+Inputs!$O$104)^2</f>
        <v>0.79719387755102</v>
      </c>
      <c r="F21" s="53" t="n">
        <f aca="false">1/(1+Inputs!$B$19+Inputs!$O$104)^3</f>
        <v>0.711780247813411</v>
      </c>
      <c r="G21" s="53" t="n">
        <f aca="false">1/(1+Inputs!$B$19+Inputs!$O$104)^4</f>
        <v>0.635518078404831</v>
      </c>
    </row>
    <row r="22" customFormat="false" ht="15" hidden="false" customHeight="true" outlineLevel="0" collapsed="false">
      <c r="A22" s="13" t="s">
        <v>593</v>
      </c>
      <c r="C22" s="35" t="n">
        <f aca="false">Inputs!B$69+Inputs!$B$47*Inputs!$B$46</f>
        <v>11231</v>
      </c>
      <c r="D22" s="35" t="n">
        <f aca="false">Inputs!C$69+Inputs!$B$47*(1-Inputs!$B$46)+Inputs!$B$70*Inputs!$O$109</f>
        <v>97550</v>
      </c>
      <c r="E22" s="35" t="n">
        <f aca="false">Inputs!D$69+Inputs!$B$70*Inputs!$O$110</f>
        <v>107338.25</v>
      </c>
      <c r="F22" s="35" t="n">
        <f aca="false">Inputs!E$69+Inputs!$B$70*Inputs!$O$111</f>
        <v>117031.375</v>
      </c>
      <c r="G22" s="35" t="n">
        <f aca="false">Inputs!F$69+Inputs!$B$70*Inputs!$O$112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Inputs!$O$107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3410.09286434006</v>
      </c>
      <c r="E55" s="35" t="n">
        <f aca="false">MAX(0,E80-E81)*Inputs!$B$20</f>
        <v>3939.61415989818</v>
      </c>
      <c r="F55" s="35" t="n">
        <f aca="false">MAX(0,F80-F81)*Inputs!$B$20</f>
        <v>4837.76832677635</v>
      </c>
      <c r="G55" s="35" t="n">
        <f aca="false">MAX(0,G80-G81)*Inputs!$B$20</f>
        <v>6179.78906175832</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20678.8608643401</v>
      </c>
      <c r="E58" s="35" t="n">
        <f aca="false">E53+E55+E56-E57</f>
        <v>39350.3981598982</v>
      </c>
      <c r="F58" s="35" t="n">
        <f aca="false">F53+F55+F56-F57</f>
        <v>61557.4615267763</v>
      </c>
      <c r="G58" s="35" t="n">
        <f aca="false">G53+G55+G56-G57</f>
        <v>82811.8940367583</v>
      </c>
    </row>
    <row r="59" customFormat="false" ht="15" hidden="false" customHeight="true" outlineLevel="0" collapsed="false">
      <c r="A59" s="13" t="s">
        <v>625</v>
      </c>
      <c r="C59" s="35" t="n">
        <f aca="false">C58*Inputs!$B$58</f>
        <v>4617.7799522293</v>
      </c>
      <c r="D59" s="35" t="n">
        <f aca="false">D58*Inputs!$B$58</f>
        <v>14888.7798223248</v>
      </c>
      <c r="E59" s="35" t="n">
        <f aca="false">E58*Inputs!$B$58</f>
        <v>28332.2866751267</v>
      </c>
      <c r="F59" s="35" t="n">
        <f aca="false">F58*Inputs!$B$58</f>
        <v>44321.372299279</v>
      </c>
      <c r="G59" s="35" t="n">
        <f aca="false">G58*Inputs!$B$58</f>
        <v>59624.563706466</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641.326789339491</v>
      </c>
      <c r="E63" s="35" t="n">
        <f aca="false">MAX(0,E59-E61)*Inputs!$B$59</f>
        <v>1699.9372005076</v>
      </c>
      <c r="F63" s="35" t="n">
        <f aca="false">MAX(0,F59-F61)*Inputs!$B$59</f>
        <v>2659.28233795674</v>
      </c>
      <c r="G63" s="35" t="n">
        <f aca="false">MAX(0,G59-G61)*Inputs!$B$59</f>
        <v>3577.47382238796</v>
      </c>
    </row>
    <row r="64" customFormat="false" ht="15" hidden="false" customHeight="true" outlineLevel="0" collapsed="false">
      <c r="A64" s="13" t="s">
        <v>630</v>
      </c>
      <c r="C64" s="35" t="n">
        <f aca="false">C58-C63</f>
        <v>6136.51646985139</v>
      </c>
      <c r="D64" s="35" t="n">
        <f aca="false">D58-D63</f>
        <v>20037.5340750006</v>
      </c>
      <c r="E64" s="35" t="n">
        <f aca="false">E58-E63</f>
        <v>37650.4609593906</v>
      </c>
      <c r="F64" s="35" t="n">
        <f aca="false">F58-F63</f>
        <v>58898.1791888196</v>
      </c>
      <c r="G64" s="35" t="n">
        <f aca="false">G58-G63</f>
        <v>79234.4202143704</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3516.81692268515</v>
      </c>
      <c r="E68" s="35" t="n">
        <f aca="false">MAX(0,E64-E66)*Inputs!$B$55</f>
        <v>7906.59680147202</v>
      </c>
      <c r="F68" s="35" t="n">
        <f aca="false">MAX(0,F64-F66)*Inputs!$B$55</f>
        <v>12368.6176296521</v>
      </c>
      <c r="G68" s="35" t="n">
        <f aca="false">MAX(0,G64-G66)*Inputs!$B$55</f>
        <v>16639.2282450178</v>
      </c>
    </row>
    <row r="69" customFormat="false" ht="15" hidden="false" customHeight="true" outlineLevel="0" collapsed="false">
      <c r="A69" s="10" t="s">
        <v>635</v>
      </c>
      <c r="C69" s="36" t="n">
        <f aca="false">IF(Inputs!$O$105=0,MAX(0,C53+C55)*Inputs!B$66,IF(Inputs!$O$105=2,MAX(0,C58)*Inputs!$O$106,C63+C68))</f>
        <v>1795.80331475584</v>
      </c>
      <c r="D69" s="36" t="n">
        <f aca="false">IF(Inputs!$O$105=0,MAX(0,D53+D55)*Inputs!C$66,IF(Inputs!$O$105=2,MAX(0,D58)*Inputs!$O$106,D63+D68))</f>
        <v>5790.08104201522</v>
      </c>
      <c r="E69" s="36" t="n">
        <f aca="false">IF(Inputs!$O$105=0,MAX(0,E53+E55)*Inputs!D$66,IF(Inputs!$O$105=2,MAX(0,E58)*Inputs!$O$106,E63+E68))</f>
        <v>11018.1114847715</v>
      </c>
      <c r="F69" s="36" t="n">
        <f aca="false">IF(Inputs!$O$105=0,MAX(0,F53+F55)*Inputs!E$66,IF(Inputs!$O$105=2,MAX(0,F58)*Inputs!$O$106,F63+F68))</f>
        <v>17236.0892274974</v>
      </c>
      <c r="G69" s="36" t="n">
        <f aca="false">IF(Inputs!$O$105=0,MAX(0,G53+G55)*Inputs!F$66,IF(Inputs!$O$105=2,MAX(0,G58)*Inputs!$O$106,G63+G68))</f>
        <v>23187.3303302923</v>
      </c>
    </row>
    <row r="70" customFormat="false" ht="15" hidden="false" customHeight="true" outlineLevel="0" collapsed="false">
      <c r="A70" s="13" t="s">
        <v>636</v>
      </c>
      <c r="C70" s="16" t="n">
        <f aca="false">IF(C58&gt;0,MIN(1,C69/C58),0)</f>
        <v>0.28</v>
      </c>
      <c r="D70" s="16" t="n">
        <f aca="false">IF(D58&gt;0,MIN(1,D69/D58),0)</f>
        <v>0.28</v>
      </c>
      <c r="E70" s="16" t="n">
        <f aca="false">IF(E58&gt;0,MIN(1,E69/E58),0)</f>
        <v>0.28</v>
      </c>
      <c r="F70" s="16" t="n">
        <f aca="false">IF(F58&gt;0,MIN(1,F69/F58),0)</f>
        <v>0.28</v>
      </c>
      <c r="G70" s="16" t="n">
        <f aca="false">IF(G58&gt;0,MIN(1,G69/G58),0)</f>
        <v>0.28</v>
      </c>
    </row>
    <row r="71" customFormat="false" ht="15" hidden="false" customHeight="true" outlineLevel="0" collapsed="false">
      <c r="A71" s="13" t="s">
        <v>637</v>
      </c>
      <c r="C71" s="35" t="n">
        <f aca="false">C53+C55-C69</f>
        <v>4617.7799522293</v>
      </c>
      <c r="D71" s="35" t="n">
        <f aca="false">D53+D55-D69</f>
        <v>14888.7798223248</v>
      </c>
      <c r="E71" s="35" t="n">
        <f aca="false">E53+E55-E69</f>
        <v>28332.2866751267</v>
      </c>
      <c r="F71" s="35" t="n">
        <f aca="false">F53+F55-F69</f>
        <v>44321.372299279</v>
      </c>
      <c r="G71" s="35" t="n">
        <f aca="false">G53+G55-G69</f>
        <v>59624.563706466</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9656.71457360227</v>
      </c>
      <c r="D75" s="36" t="n">
        <f aca="false">D53+D72+D52+D55-D69-D51+D73+D74</f>
        <v>21180.8518223248</v>
      </c>
      <c r="E75" s="36" t="n">
        <f aca="false">E53+E72+E52+E55-E69-E51+E73+E74</f>
        <v>35926.1666751267</v>
      </c>
      <c r="F75" s="36" t="n">
        <f aca="false">F53+F72+F52+F55-F69-F51+F73+F74</f>
        <v>53680.829399279</v>
      </c>
      <c r="G75" s="36" t="n">
        <f aca="false">G53+G72+G52+G55-G69-G51+G73+G74</f>
        <v>70119.034656466</v>
      </c>
    </row>
    <row r="76" customFormat="false" ht="15" hidden="false" customHeight="true" outlineLevel="0" collapsed="false">
      <c r="A76" s="10" t="s">
        <v>642</v>
      </c>
      <c r="C76" s="36" t="n">
        <f aca="false">C53+C52-(C69-C55*C70)-C51+C73+C74</f>
        <v>698.737452229304</v>
      </c>
      <c r="D76" s="36" t="n">
        <f aca="false">D53+D52-(D69-D55*D70)-D51+D73+D74</f>
        <v>8962.02496</v>
      </c>
      <c r="E76" s="36" t="n">
        <f aca="false">E53+E52-(E69-E55*E70)-E51+E73+E74</f>
        <v>19637.62848</v>
      </c>
      <c r="F76" s="36" t="n">
        <f aca="false">F53+F52-(F69-F55*F70)-F51+F73+F74</f>
        <v>34307.442304</v>
      </c>
      <c r="G76" s="36" t="n">
        <f aca="false">G53+G52-(G69-G55*G70)-G51+G73+G74</f>
        <v>48644.378782</v>
      </c>
    </row>
    <row r="77" customFormat="false" ht="15" hidden="false" customHeight="true" outlineLevel="0" collapsed="false">
      <c r="A77" s="13" t="s">
        <v>643</v>
      </c>
      <c r="C77" s="16" t="n">
        <f aca="false">IFERROR(C76/C49,0)</f>
        <v>0.0128818526645276</v>
      </c>
      <c r="D77" s="16" t="n">
        <f aca="false">IFERROR(D76/D49,0)</f>
        <v>0.0826114907267431</v>
      </c>
      <c r="E77" s="16" t="n">
        <f aca="false">IFERROR(E76/E49,0)</f>
        <v>0.116786233260502</v>
      </c>
      <c r="F77" s="16" t="n">
        <f aca="false">IFERROR(F76/F49,0)</f>
        <v>0.151132262853004</v>
      </c>
      <c r="G77" s="16" t="n">
        <f aca="false">IFERROR(G76/G49,0)</f>
        <v>0.171431842111883</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136403.714573602</v>
      </c>
      <c r="E80" s="35" t="n">
        <f aca="false">D85</f>
        <v>157584.566395927</v>
      </c>
      <c r="F80" s="35" t="n">
        <f aca="false">E85</f>
        <v>193510.733071054</v>
      </c>
      <c r="G80" s="35" t="n">
        <f aca="false">F85</f>
        <v>247191.562470333</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4558.71457360227</v>
      </c>
      <c r="D82" s="35" t="n">
        <f aca="false">D75</f>
        <v>21180.8518223248</v>
      </c>
      <c r="E82" s="35" t="n">
        <f aca="false">E75</f>
        <v>35926.1666751267</v>
      </c>
      <c r="F82" s="35" t="n">
        <f aca="false">F75</f>
        <v>53680.829399279</v>
      </c>
      <c r="G82" s="35" t="n">
        <f aca="false">G75</f>
        <v>70119.034656466</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136403.714573602</v>
      </c>
      <c r="D85" s="36" t="n">
        <f aca="false">D80+D82+D83+D84</f>
        <v>157584.566395927</v>
      </c>
      <c r="E85" s="36" t="n">
        <f aca="false">E80+E82+E83+E84</f>
        <v>193510.733071054</v>
      </c>
      <c r="F85" s="36" t="n">
        <f aca="false">F80+F82+F83+F84</f>
        <v>247191.562470333</v>
      </c>
      <c r="G85" s="36" t="n">
        <f aca="false">G80+G82+G83+G84</f>
        <v>317310.597126799</v>
      </c>
    </row>
    <row r="86" customFormat="false" ht="15" hidden="false" customHeight="true" outlineLevel="0" collapsed="false">
      <c r="A86" s="13" t="s">
        <v>653</v>
      </c>
      <c r="C86" s="35" t="n">
        <f aca="false">MIN(C80-C81,C85)</f>
        <v>131845</v>
      </c>
      <c r="D86" s="35" t="n">
        <f aca="false">MIN(D80-D81,D85)</f>
        <v>136403.714573602</v>
      </c>
      <c r="E86" s="35" t="n">
        <f aca="false">MIN(E80-E81,E85)</f>
        <v>157584.566395927</v>
      </c>
      <c r="F86" s="35" t="n">
        <f aca="false">MIN(F80-F81,F85)</f>
        <v>193510.733071054</v>
      </c>
      <c r="G86" s="35" t="n">
        <f aca="false">MIN(G80-G81,G85)</f>
        <v>247191.562470333</v>
      </c>
    </row>
    <row r="87" customFormat="false" ht="15" hidden="false" customHeight="true" outlineLevel="0" collapsed="false">
      <c r="A87" s="13" t="s">
        <v>654</v>
      </c>
      <c r="C87" s="35" t="n">
        <f aca="false">C86-Inputs!$B$29</f>
        <v>126845</v>
      </c>
      <c r="D87" s="35" t="n">
        <f aca="false">D86-Inputs!$B$29</f>
        <v>131403.714573602</v>
      </c>
      <c r="E87" s="35" t="n">
        <f aca="false">E86-Inputs!$B$29</f>
        <v>152584.566395927</v>
      </c>
      <c r="F87" s="35" t="n">
        <f aca="false">F86-Inputs!$B$29</f>
        <v>188510.733071054</v>
      </c>
      <c r="G87" s="35" t="n">
        <f aca="false">G86-Inputs!$B$29</f>
        <v>242191.562470333</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136403.714573602</v>
      </c>
      <c r="D100" s="35" t="n">
        <f aca="false">D85+SUM($C97:D97)+SUM($C98:D98)-SUM($C99:D99)</f>
        <v>157584.566395927</v>
      </c>
      <c r="E100" s="35" t="n">
        <f aca="false">E85+SUM($C97:E97)+SUM($C98:E98)-SUM($C99:E99)</f>
        <v>193510.733071054</v>
      </c>
      <c r="F100" s="35" t="n">
        <f aca="false">F85+SUM($C97:F97)+SUM($C98:F98)-SUM($C99:F99)</f>
        <v>247191.562470333</v>
      </c>
      <c r="G100" s="35" t="n">
        <f aca="false">G85+SUM($C97:G97)+SUM($C98:G98)-SUM($C99:G99)</f>
        <v>317310.597126799</v>
      </c>
    </row>
    <row r="101" customFormat="false" ht="15" hidden="false" customHeight="true" outlineLevel="0" collapsed="false">
      <c r="A101" s="13" t="s">
        <v>668</v>
      </c>
      <c r="C101" s="35" t="n">
        <f aca="false">MIN(C80-C81+0+C97,C100)</f>
        <v>131845</v>
      </c>
      <c r="D101" s="35" t="n">
        <f aca="false">MIN(D80-D81+SUM($C97:C97)+SUM($C98:C98)-SUM($C99:C99)+D97,D100)</f>
        <v>136403.714573602</v>
      </c>
      <c r="E101" s="35" t="n">
        <f aca="false">MIN(E80-E81+SUM($C97:D97)+SUM($C98:D98)-SUM($C99:D99)+E97,E100)</f>
        <v>157584.566395927</v>
      </c>
      <c r="F101" s="35" t="n">
        <f aca="false">MIN(F80-F81+SUM($C97:E97)+SUM($C98:E98)-SUM($C99:E99)+F97,F100)</f>
        <v>193510.733071054</v>
      </c>
      <c r="G101" s="35" t="n">
        <f aca="false">MIN(G80-G81+SUM($C97:F97)+SUM($C98:F98)-SUM($C99:F99)+G97,G100)</f>
        <v>247191.562470333</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3410.09286434006</v>
      </c>
      <c r="E111" s="35" t="n">
        <f aca="false">MAX(0,E136-E137)*Inputs!$B$20</f>
        <v>3951.83032617018</v>
      </c>
      <c r="F111" s="35" t="n">
        <f aca="false">MAX(0,F136-F137)*Inputs!$B$20</f>
        <v>4895.86562509324</v>
      </c>
      <c r="G111" s="35" t="n">
        <f aca="false">MAX(0,G136-G137)*Inputs!$B$20</f>
        <v>6362.56123723292</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21444.3239683401</v>
      </c>
      <c r="E114" s="35" t="n">
        <f aca="false">E109+E111+E112-E113</f>
        <v>42298.0286401702</v>
      </c>
      <c r="F114" s="35" t="n">
        <f aca="false">F109+F111+F112-F113</f>
        <v>69492.0667660932</v>
      </c>
      <c r="G114" s="35" t="n">
        <f aca="false">G109+G111+G112-G113</f>
        <v>97638.6942338579</v>
      </c>
    </row>
    <row r="115" customFormat="false" ht="15" hidden="false" customHeight="true" outlineLevel="0" collapsed="false">
      <c r="A115" s="13" t="s">
        <v>625</v>
      </c>
      <c r="C115" s="35" t="n">
        <f aca="false">C114*Inputs!$B$58</f>
        <v>4617.7799522293</v>
      </c>
      <c r="D115" s="35" t="n">
        <f aca="false">D114*Inputs!$B$58</f>
        <v>15439.9132572048</v>
      </c>
      <c r="E115" s="35" t="n">
        <f aca="false">E114*Inputs!$B$58</f>
        <v>30454.5806209225</v>
      </c>
      <c r="F115" s="35" t="n">
        <f aca="false">F114*Inputs!$B$58</f>
        <v>50034.2880715871</v>
      </c>
      <c r="G115" s="35" t="n">
        <f aca="false">G114*Inputs!$B$58</f>
        <v>70299.8598483777</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674.39479543229</v>
      </c>
      <c r="E119" s="35" t="n">
        <f aca="false">MAX(0,E115-E117)*Inputs!$B$59</f>
        <v>1827.27483725535</v>
      </c>
      <c r="F119" s="35" t="n">
        <f aca="false">MAX(0,F115-F117)*Inputs!$B$59</f>
        <v>3002.05728429523</v>
      </c>
      <c r="G119" s="35" t="n">
        <f aca="false">MAX(0,G115-G117)*Inputs!$B$59</f>
        <v>4217.99159090266</v>
      </c>
    </row>
    <row r="120" customFormat="false" ht="15" hidden="false" customHeight="true" outlineLevel="0" collapsed="false">
      <c r="A120" s="13" t="s">
        <v>630</v>
      </c>
      <c r="C120" s="35" t="n">
        <f aca="false">C114-C119</f>
        <v>6136.51646985139</v>
      </c>
      <c r="D120" s="35" t="n">
        <f aca="false">D114-D119</f>
        <v>20769.9291729078</v>
      </c>
      <c r="E120" s="35" t="n">
        <f aca="false">E114-E119</f>
        <v>40470.7538029148</v>
      </c>
      <c r="F120" s="35" t="n">
        <f aca="false">F114-F119</f>
        <v>66490.009481798</v>
      </c>
      <c r="G120" s="35" t="n">
        <f aca="false">G114-G119</f>
        <v>93420.7026429553</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3670.61989324566</v>
      </c>
      <c r="E124" s="35" t="n">
        <f aca="false">MAX(0,E120-E122)*Inputs!$B$55</f>
        <v>8498.85829861212</v>
      </c>
      <c r="F124" s="35" t="n">
        <f aca="false">MAX(0,F120-F122)*Inputs!$B$55</f>
        <v>13962.9019911776</v>
      </c>
      <c r="G124" s="35" t="n">
        <f aca="false">MAX(0,G120-G122)*Inputs!$B$55</f>
        <v>19618.3475550206</v>
      </c>
    </row>
    <row r="125" customFormat="false" ht="15" hidden="false" customHeight="true" outlineLevel="0" collapsed="false">
      <c r="A125" s="10" t="s">
        <v>635</v>
      </c>
      <c r="C125" s="36" t="n">
        <f aca="false">IF(Inputs!$O$105=0,MAX(0,C109+C111)*Inputs!B$66,IF(Inputs!$O$105=2,MAX(0,C114)*Inputs!$O$106,C119+C124))</f>
        <v>1795.80331475584</v>
      </c>
      <c r="D125" s="36" t="n">
        <f aca="false">IF(Inputs!$O$105=0,MAX(0,D109+D111)*Inputs!C$66,IF(Inputs!$O$105=2,MAX(0,D114)*Inputs!$O$106,D119+D124))</f>
        <v>6004.41071113522</v>
      </c>
      <c r="E125" s="36" t="n">
        <f aca="false">IF(Inputs!$O$105=0,MAX(0,E109+E111)*Inputs!D$66,IF(Inputs!$O$105=2,MAX(0,E114)*Inputs!$O$106,E119+E124))</f>
        <v>11843.4480192477</v>
      </c>
      <c r="F125" s="36" t="n">
        <f aca="false">IF(Inputs!$O$105=0,MAX(0,F109+F111)*Inputs!E$66,IF(Inputs!$O$105=2,MAX(0,F114)*Inputs!$O$106,F119+F124))</f>
        <v>19457.7786945061</v>
      </c>
      <c r="G125" s="36" t="n">
        <f aca="false">IF(Inputs!$O$105=0,MAX(0,G109+G111)*Inputs!F$66,IF(Inputs!$O$105=2,MAX(0,G114)*Inputs!$O$106,G119+G124))</f>
        <v>27338.8343854802</v>
      </c>
    </row>
    <row r="126" customFormat="false" ht="15" hidden="false" customHeight="true" outlineLevel="0" collapsed="false">
      <c r="A126" s="13" t="s">
        <v>636</v>
      </c>
      <c r="C126" s="16" t="n">
        <f aca="false">IF(C114&gt;0,MIN(1,C125/C114),0)</f>
        <v>0.28</v>
      </c>
      <c r="D126" s="16" t="n">
        <f aca="false">IF(D114&gt;0,MIN(1,D125/D114),0)</f>
        <v>0.28</v>
      </c>
      <c r="E126" s="16" t="n">
        <f aca="false">IF(E114&gt;0,MIN(1,E125/E114),0)</f>
        <v>0.28</v>
      </c>
      <c r="F126" s="16" t="n">
        <f aca="false">IF(F114&gt;0,MIN(1,F125/F114),0)</f>
        <v>0.28</v>
      </c>
      <c r="G126" s="16" t="n">
        <f aca="false">IF(G114&gt;0,MIN(1,G125/G114),0)</f>
        <v>0.28</v>
      </c>
    </row>
    <row r="127" customFormat="false" ht="15" hidden="false" customHeight="true" outlineLevel="0" collapsed="false">
      <c r="A127" s="13" t="s">
        <v>637</v>
      </c>
      <c r="C127" s="35" t="n">
        <f aca="false">C109+C111-C125</f>
        <v>4617.7799522293</v>
      </c>
      <c r="D127" s="35" t="n">
        <f aca="false">D109+D111-D125</f>
        <v>15439.9132572048</v>
      </c>
      <c r="E127" s="35" t="n">
        <f aca="false">E109+E111-E125</f>
        <v>30454.5806209225</v>
      </c>
      <c r="F127" s="35" t="n">
        <f aca="false">F109+F111-F125</f>
        <v>50034.2880715871</v>
      </c>
      <c r="G127" s="35" t="n">
        <f aca="false">G109+G111-G125</f>
        <v>70299.8598483777</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9656.71457360227</v>
      </c>
      <c r="D131" s="36" t="n">
        <f aca="false">D109+D128+D108+D111-D125-D107+D129+D130</f>
        <v>21669.4984732048</v>
      </c>
      <c r="E131" s="36" t="n">
        <f aca="false">E109+E128+E108+E111-E125-E107+E129+E130</f>
        <v>37761.4119569225</v>
      </c>
      <c r="F131" s="36" t="n">
        <f aca="false">F109+F128+F108+F111-F125-F107+F129+F130</f>
        <v>58667.8244855871</v>
      </c>
      <c r="G131" s="36" t="n">
        <f aca="false">G109+G128+G108+G111-G125-G107+G129+G130</f>
        <v>79557.6538798777</v>
      </c>
    </row>
    <row r="132" customFormat="false" ht="15" hidden="false" customHeight="true" outlineLevel="0" collapsed="false">
      <c r="A132" s="10" t="s">
        <v>642</v>
      </c>
      <c r="C132" s="36" t="n">
        <f aca="false">C109+C108-(C125-C111*C126)-C107+C129+C130</f>
        <v>698.737452229304</v>
      </c>
      <c r="D132" s="36" t="n">
        <f aca="false">D109+D108-(D125-D111*D126)-D107+D129+D130</f>
        <v>9450.67161088</v>
      </c>
      <c r="E132" s="36" t="n">
        <f aca="false">E109+E108-(E125-E111*E126)-E107+E129+E130</f>
        <v>21464.07812208</v>
      </c>
      <c r="F132" s="36" t="n">
        <f aca="false">F109+F108-(F125-F111*F126)-F107+F129+F130</f>
        <v>39252.60733552</v>
      </c>
      <c r="G132" s="36" t="n">
        <f aca="false">G109+G108-(G125-G111*G126)-G107+G129+G130</f>
        <v>57951.40203907</v>
      </c>
    </row>
    <row r="133" customFormat="false" ht="15" hidden="false" customHeight="true" outlineLevel="0" collapsed="false">
      <c r="A133" s="13" t="s">
        <v>643</v>
      </c>
      <c r="C133" s="16" t="n">
        <f aca="false">IFERROR(C132/C105,0)</f>
        <v>0.0128818526645276</v>
      </c>
      <c r="D133" s="16" t="n">
        <f aca="false">IFERROR(D132/D105,0)</f>
        <v>0.0855754525802978</v>
      </c>
      <c r="E133" s="16" t="n">
        <f aca="false">IFERROR(E132/E105,0)</f>
        <v>0.122151431735624</v>
      </c>
      <c r="F133" s="16" t="n">
        <f aca="false">IFERROR(F132/F105,0)</f>
        <v>0.158639325691323</v>
      </c>
      <c r="G133" s="16" t="n">
        <f aca="false">IFERROR(G132/G105,0)</f>
        <v>0.179939668574725</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136403.714573602</v>
      </c>
      <c r="E136" s="35" t="n">
        <f aca="false">D141</f>
        <v>158073.213046807</v>
      </c>
      <c r="F136" s="35" t="n">
        <f aca="false">E141</f>
        <v>195834.62500373</v>
      </c>
      <c r="G136" s="35" t="n">
        <f aca="false">F141</f>
        <v>254502.449489317</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4558.71457360227</v>
      </c>
      <c r="D138" s="35" t="n">
        <f aca="false">D131</f>
        <v>21669.4984732048</v>
      </c>
      <c r="E138" s="35" t="n">
        <f aca="false">E131</f>
        <v>37761.4119569225</v>
      </c>
      <c r="F138" s="35" t="n">
        <f aca="false">F131</f>
        <v>58667.8244855871</v>
      </c>
      <c r="G138" s="35" t="n">
        <f aca="false">G131</f>
        <v>79557.6538798777</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136403.714573602</v>
      </c>
      <c r="D141" s="36" t="n">
        <f aca="false">D136+D138+D139+D140</f>
        <v>158073.213046807</v>
      </c>
      <c r="E141" s="36" t="n">
        <f aca="false">E136+E138+E139+E140</f>
        <v>195834.62500373</v>
      </c>
      <c r="F141" s="36" t="n">
        <f aca="false">F136+F138+F139+F140</f>
        <v>254502.449489317</v>
      </c>
      <c r="G141" s="36" t="n">
        <f aca="false">G136+G138+G139+G140</f>
        <v>334060.103369195</v>
      </c>
    </row>
    <row r="142" customFormat="false" ht="15" hidden="false" customHeight="true" outlineLevel="0" collapsed="false">
      <c r="A142" s="13" t="s">
        <v>653</v>
      </c>
      <c r="C142" s="35" t="n">
        <f aca="false">MIN(C136-C137,C141)</f>
        <v>131845</v>
      </c>
      <c r="D142" s="35" t="n">
        <f aca="false">MIN(D136-D137,D141)</f>
        <v>136403.714573602</v>
      </c>
      <c r="E142" s="35" t="n">
        <f aca="false">MIN(E136-E137,E141)</f>
        <v>158073.213046807</v>
      </c>
      <c r="F142" s="35" t="n">
        <f aca="false">MIN(F136-F137,F141)</f>
        <v>195834.62500373</v>
      </c>
      <c r="G142" s="35" t="n">
        <f aca="false">MIN(G136-G137,G141)</f>
        <v>254502.449489317</v>
      </c>
    </row>
    <row r="143" customFormat="false" ht="15" hidden="false" customHeight="true" outlineLevel="0" collapsed="false">
      <c r="A143" s="13" t="s">
        <v>654</v>
      </c>
      <c r="C143" s="35" t="n">
        <f aca="false">C142-Inputs!$B$29</f>
        <v>126845</v>
      </c>
      <c r="D143" s="35" t="n">
        <f aca="false">D142-Inputs!$B$29</f>
        <v>131403.714573602</v>
      </c>
      <c r="E143" s="35" t="n">
        <f aca="false">E142-Inputs!$B$29</f>
        <v>153073.213046807</v>
      </c>
      <c r="F143" s="35" t="n">
        <f aca="false">F142-Inputs!$B$29</f>
        <v>190834.62500373</v>
      </c>
      <c r="G143" s="35" t="n">
        <f aca="false">G142-Inputs!$B$29</f>
        <v>249502.449489317</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136403.714573602</v>
      </c>
      <c r="D156" s="35" t="n">
        <f aca="false">D141+SUM($C153:D153)+SUM($C154:D154)-SUM($C155:D155)</f>
        <v>158073.213046807</v>
      </c>
      <c r="E156" s="35" t="n">
        <f aca="false">E141+SUM($C153:E153)+SUM($C154:E154)-SUM($C155:E155)</f>
        <v>195834.62500373</v>
      </c>
      <c r="F156" s="35" t="n">
        <f aca="false">F141+SUM($C153:F153)+SUM($C154:F154)-SUM($C155:F155)</f>
        <v>254502.449489317</v>
      </c>
      <c r="G156" s="35" t="n">
        <f aca="false">G141+SUM($C153:G153)+SUM($C154:G154)-SUM($C155:G155)</f>
        <v>334060.103369195</v>
      </c>
    </row>
    <row r="157" customFormat="false" ht="15" hidden="false" customHeight="true" outlineLevel="0" collapsed="false">
      <c r="A157" s="13" t="s">
        <v>668</v>
      </c>
      <c r="C157" s="35" t="n">
        <f aca="false">MIN(C136-C137+0+C153,C156)</f>
        <v>131845</v>
      </c>
      <c r="D157" s="35" t="n">
        <f aca="false">MIN(D136-D137+SUM($C153:C153)+SUM($C154:C154)-SUM($C155:C155)+D153,D156)</f>
        <v>136403.714573602</v>
      </c>
      <c r="E157" s="35" t="n">
        <f aca="false">MIN(E136-E137+SUM($C153:D153)+SUM($C154:D154)-SUM($C155:D155)+E153,E156)</f>
        <v>158073.213046807</v>
      </c>
      <c r="F157" s="35" t="n">
        <f aca="false">MIN(F136-F137+SUM($C153:E153)+SUM($C154:E154)-SUM($C155:E155)+F153,F156)</f>
        <v>195834.62500373</v>
      </c>
      <c r="G157" s="35" t="n">
        <f aca="false">MIN(G136-G137+SUM($C153:F153)+SUM($C154:F154)-SUM($C155:F155)+G153,G156)</f>
        <v>254502.449489317</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Inputs!$B$19+Inputs!$O$104</f>
        <v>0.12</v>
      </c>
      <c r="G162" s="16" t="n">
        <f aca="false">Inputs!$B$19+Inputs!$O$104</f>
        <v>0.12</v>
      </c>
    </row>
    <row r="163" customFormat="false" ht="15" hidden="false" customHeight="true" outlineLevel="0" collapsed="false">
      <c r="A163" s="13" t="s">
        <v>673</v>
      </c>
      <c r="F163" s="35" t="n">
        <f aca="false">G53*(1-G70)</f>
        <v>55175.115582</v>
      </c>
      <c r="G163" s="35" t="n">
        <f aca="false">G109*(1-G126)</f>
        <v>65718.81575757</v>
      </c>
    </row>
    <row r="164" customFormat="false" ht="15" hidden="false" customHeight="true" outlineLevel="0" collapsed="false">
      <c r="A164" s="13" t="s">
        <v>674</v>
      </c>
      <c r="F164" s="54" t="n">
        <f aca="false">Inputs!$O$102</f>
        <v>30</v>
      </c>
      <c r="G164" s="54" t="n">
        <f aca="false">Inputs!$O$102</f>
        <v>30</v>
      </c>
    </row>
    <row r="165" customFormat="false" ht="15" hidden="false" customHeight="true" outlineLevel="0" collapsed="false">
      <c r="A165" s="13" t="s">
        <v>675</v>
      </c>
      <c r="F165" s="35" t="n">
        <f aca="false">F163*F164</f>
        <v>1655253.46746</v>
      </c>
      <c r="G165" s="35" t="n">
        <f aca="false">G163*G164</f>
        <v>1971564.4727271</v>
      </c>
    </row>
    <row r="166" customFormat="false" ht="15" hidden="false" customHeight="true" outlineLevel="0" collapsed="false">
      <c r="A166" s="13" t="s">
        <v>676</v>
      </c>
      <c r="F166" s="35" t="n">
        <f aca="false">F165*$G$21</f>
        <v>1051943.50291311</v>
      </c>
      <c r="G166" s="35" t="n">
        <f aca="false">G165*$G$21</f>
        <v>1252964.86515876</v>
      </c>
    </row>
    <row r="167" customFormat="false" ht="15" hidden="false" customHeight="true" outlineLevel="0" collapsed="false">
      <c r="A167" s="13" t="s">
        <v>677</v>
      </c>
      <c r="F167" s="35" t="n">
        <f aca="false">SUMPRODUCT(D76:G76,$D$21:$G$21)-F162*SUMPRODUCT(D81:G81,$D$21:$G$21)</f>
        <v>78990.5471075963</v>
      </c>
      <c r="G167" s="35" t="n">
        <f aca="false">SUMPRODUCT(D132:G132,$D$21:$G$21)-G162*SUMPRODUCT(D137:G137,$D$21:$G$21)</f>
        <v>90317.5255601049</v>
      </c>
    </row>
    <row r="168" customFormat="false" ht="15" hidden="false" customHeight="true" outlineLevel="0" collapsed="false">
      <c r="A168" s="13" t="s">
        <v>678</v>
      </c>
      <c r="F168" s="35" t="n">
        <f aca="false">F166+F167</f>
        <v>1130934.05002071</v>
      </c>
      <c r="G168" s="35" t="n">
        <f aca="false">G166+G167</f>
        <v>1343282.39071887</v>
      </c>
    </row>
    <row r="169" customFormat="false" ht="15" hidden="false" customHeight="true" outlineLevel="0" collapsed="false">
      <c r="A169" s="13" t="s">
        <v>679</v>
      </c>
      <c r="F169" s="35" t="n">
        <f aca="false">(G76-G74)*Inputs!$O$103*$G$21</f>
        <v>865602.699604535</v>
      </c>
      <c r="G169" s="35" t="n">
        <f aca="false">(G132-G130)*Inputs!$O$103*$G$21</f>
        <v>1031216.5826126</v>
      </c>
    </row>
    <row r="170" customFormat="false" ht="15" hidden="false" customHeight="true" outlineLevel="0" collapsed="false">
      <c r="A170" s="13" t="s">
        <v>680</v>
      </c>
      <c r="F170" s="35" t="n">
        <f aca="false">F167+F169</f>
        <v>944593.246712131</v>
      </c>
      <c r="G170" s="35" t="n">
        <f aca="false">G167+G169</f>
        <v>1121534.1081727</v>
      </c>
    </row>
    <row r="171" customFormat="false" ht="15" hidden="false" customHeight="true" outlineLevel="0" collapsed="false">
      <c r="A171" s="13" t="s">
        <v>681</v>
      </c>
      <c r="F171" s="35" t="n">
        <f aca="false">F168*Inputs!$B$21+F170*(1-Inputs!$B$21)</f>
        <v>1037763.64836642</v>
      </c>
      <c r="G171" s="35" t="n">
        <f aca="false">G168*Inputs!$B$21+G170*(1-Inputs!$B$21)</f>
        <v>1232408.24944578</v>
      </c>
    </row>
    <row r="172" customFormat="false" ht="15" hidden="false" customHeight="true" outlineLevel="0" collapsed="false">
      <c r="A172" s="13" t="s">
        <v>682</v>
      </c>
      <c r="F172" s="16" t="n">
        <f aca="false">IFERROR(F166/F168,0)</f>
        <v>0.930154594685561</v>
      </c>
      <c r="G172" s="16" t="n">
        <f aca="false">IFERROR(G166/G168,0)</f>
        <v>0.932763560228188</v>
      </c>
    </row>
    <row r="173" customFormat="false" ht="15" hidden="false" customHeight="true" outlineLevel="0" collapsed="false">
      <c r="A173" s="13" t="s">
        <v>683</v>
      </c>
      <c r="F173" s="16" t="n">
        <f aca="false">IFERROR(F169/F170,0)</f>
        <v>0.916376125509535</v>
      </c>
      <c r="G173" s="16" t="n">
        <f aca="false">IFERROR(G169/G170,0)</f>
        <v>0.919469657764348</v>
      </c>
    </row>
    <row r="174" customFormat="false" ht="15" hidden="false" customHeight="true" outlineLevel="0" collapsed="false">
      <c r="A174" s="13" t="s">
        <v>684</v>
      </c>
      <c r="F174" s="35" t="n">
        <f aca="false">C85</f>
        <v>136403.714573602</v>
      </c>
      <c r="G174" s="35" t="n">
        <f aca="false">C141</f>
        <v>136403.714573602</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1174167.36294002</v>
      </c>
      <c r="G176" s="34" t="n">
        <f aca="false">G171+G174+G175</f>
        <v>1368811.96401939</v>
      </c>
    </row>
    <row r="177" customFormat="false" ht="15" hidden="false" customHeight="true" outlineLevel="0" collapsed="false">
      <c r="A177" s="13" t="s">
        <v>687</v>
      </c>
      <c r="F177" s="35" t="n">
        <f aca="false">IF(F182="OK",F176,"unresolved")</f>
        <v>1174167.36294002</v>
      </c>
      <c r="G177" s="35" t="n">
        <f aca="false">IF(G182="OK",G176,"unresolved")</f>
        <v>1368811.96401939</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65.4604128249756</v>
      </c>
      <c r="G179" s="25" t="n">
        <f aca="false">IF(G182="OK",G176/G178,"n/a")</f>
        <v>76.3119458712562</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65.4604128249756</v>
      </c>
      <c r="G184" s="25" t="n">
        <f aca="false">IF(NOT(ISNUMBER(G179)),"unresolved",IF(G180=0,G179,(G176+G180/(1+G162)^IF(ISNUMBER(G149),MAX(0,G149-2027),0))/(G178+(G180/(1-Inputs!$B$31))/(G179*(1+G162)^IF(ISNUMBER(G149),MAX(0,G149-2027),0)*(1-0)))))</f>
        <v>76.3119458712562</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65.4604128249756</v>
      </c>
      <c r="G185" s="25" t="n">
        <f aca="false">IF(NOT(ISNUMBER(G179)),"unresolved",IF(G180=0,G179,(G176+G180/(1+G162)^IF(ISNUMBER(G149),MAX(0,G149-2027),0))/(G178+(G180/(1-Inputs!$B$31))/(G179*(1+G162)^IF(ISNUMBER(G149),MAX(0,G149-2027),0)*(1-Inputs!$B$30)))))</f>
        <v>76.3119458712562</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65.4604128249756</v>
      </c>
      <c r="G186" s="25" t="n">
        <f aca="false">IF(NOT(ISNUMBER(G179)),"unresolved",IF(G180=0,G179,(G176+G180/(1+G162)^IF(ISNUMBER(G149),MAX(0,G149-2027),0))/(G178+(G180/(1-Inputs!$B$31))/(G179*(1+G162)^IF(ISNUMBER(G149),MAX(0,G149-2027),0)*(1-0.3)))))</f>
        <v>76.3119458712562</v>
      </c>
    </row>
    <row r="187" customFormat="false" ht="15" hidden="false" customHeight="true" outlineLevel="0" collapsed="false">
      <c r="A187" s="13" t="s">
        <v>696</v>
      </c>
      <c r="F187" s="25" t="n">
        <f aca="false">F185</f>
        <v>65.4604128249756</v>
      </c>
      <c r="G187" s="25" t="n">
        <f aca="false">G185</f>
        <v>76.3119458712562</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65.4604128249756</v>
      </c>
      <c r="G189" s="12" t="n">
        <f aca="false">IF(ISNUMBER(G187),G187/(1+Inputs!$B$25)^G188,"unresolved")</f>
        <v>76.3119458712562</v>
      </c>
    </row>
    <row r="190" customFormat="false" ht="15" hidden="false" customHeight="true" outlineLevel="0" collapsed="false">
      <c r="A190" s="13" t="s">
        <v>699</v>
      </c>
      <c r="F190" s="25" t="n">
        <f aca="false">IF(F180=0,F189,"unresolved")</f>
        <v>65.4604128249756</v>
      </c>
      <c r="G190" s="25" t="n">
        <f aca="false">IF(G180=0,G189,"unresolved")</f>
        <v>76.3119458712562</v>
      </c>
    </row>
    <row r="191" customFormat="false" ht="15" hidden="false" customHeight="true" outlineLevel="0" collapsed="false">
      <c r="A191" s="13" t="s">
        <v>700</v>
      </c>
      <c r="F191" s="35" t="n">
        <f aca="false">IF(ISNUMBER(F179),F176+F180/(1+F162)^IF(ISNUMBER(G93),MAX(0,G93-2027),0),"unresolved")</f>
        <v>1174167.36294002</v>
      </c>
      <c r="G191" s="35" t="n">
        <f aca="false">IF(ISNUMBER(G179),G176+G180/(1+G162)^IF(ISNUMBER(G149),MAX(0,G149-2027),0),"unresolved")</f>
        <v>1368811.96401939</v>
      </c>
    </row>
    <row r="192" customFormat="false" ht="15" hidden="false" customHeight="true" outlineLevel="0" collapsed="false">
      <c r="A192" s="13" t="s">
        <v>701</v>
      </c>
      <c r="F192" s="28" t="n">
        <f aca="false">IFERROR(F191/D49,"n/a")</f>
        <v>10.8234150929171</v>
      </c>
      <c r="G192" s="28" t="n">
        <f aca="false">IFERROR(G191/D105,"n/a")</f>
        <v>12.3945374615951</v>
      </c>
    </row>
    <row r="193" customFormat="false" ht="15" hidden="false" customHeight="true" outlineLevel="0" collapsed="false">
      <c r="A193" s="13" t="s">
        <v>702</v>
      </c>
      <c r="F193" s="25" t="n">
        <f aca="false">(F168+F174)/F178</f>
        <v>70.6547089260758</v>
      </c>
      <c r="G193" s="25" t="n">
        <f aca="false">(G168+G174)/G178</f>
        <v>82.4932342364663</v>
      </c>
    </row>
    <row r="194" customFormat="false" ht="15" hidden="false" customHeight="true" outlineLevel="0" collapsed="false">
      <c r="A194" s="13" t="s">
        <v>703</v>
      </c>
      <c r="F194" s="25" t="n">
        <f aca="false">(F170+F174)/F178</f>
        <v>60.2661167238753</v>
      </c>
      <c r="G194" s="25" t="n">
        <f aca="false">(G170+G174)/G178</f>
        <v>70.130657506046</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719</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Historicals!F35+(Inputs!$B$5+Inputs!$P$75)</f>
        <v>54242</v>
      </c>
      <c r="D5" s="35" t="n">
        <f aca="false">C5*(1+Inputs!$P$77)</f>
        <v>108484</v>
      </c>
      <c r="E5" s="35" t="n">
        <f aca="false">D5*(1+Inputs!$P$78)</f>
        <v>168150.2</v>
      </c>
      <c r="F5" s="35" t="n">
        <f aca="false">E5*(1+Inputs!$P$79)</f>
        <v>227002.77</v>
      </c>
      <c r="G5" s="35" t="n">
        <f aca="false">F5*(1+Inputs!$P$80)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Historicals!F51+(Inputs!$B$5+Inputs!$P$75)*Historicals!F51/Historicals!F35</f>
        <v>10731.163207663</v>
      </c>
      <c r="D7" s="35" t="n">
        <f aca="false">D5*Inputs!$P$76</f>
        <v>21696.8</v>
      </c>
      <c r="E7" s="35" t="n">
        <f aca="false">E5*Inputs!$P$76</f>
        <v>33630.04</v>
      </c>
      <c r="F7" s="35" t="n">
        <f aca="false">F5*Inputs!$P$76</f>
        <v>45400.554</v>
      </c>
      <c r="G7" s="35" t="n">
        <f aca="false">G5*Inputs!$P$76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Historicals!F36+Historicals!H6+Inputs!$P$75*Inputs!$P$81</f>
        <v>28258</v>
      </c>
      <c r="D9" s="35" t="n">
        <f aca="false">(C9-Inputs!$P$113)*(1+Inputs!$P$82)</f>
        <v>48038.6</v>
      </c>
      <c r="E9" s="35" t="n">
        <f aca="false">D9*(1+Inputs!$P$83)</f>
        <v>69655.97</v>
      </c>
      <c r="F9" s="35" t="n">
        <f aca="false">E9*(1+Inputs!$P$84)</f>
        <v>90552.761</v>
      </c>
      <c r="G9" s="35" t="n">
        <f aca="false">F9*(1+Inputs!$P$85)</f>
        <v>108663.3132</v>
      </c>
    </row>
    <row r="10" customFormat="false" ht="15" hidden="false" customHeight="true" outlineLevel="0" collapsed="false">
      <c r="A10" s="13" t="s">
        <v>219</v>
      </c>
      <c r="B10" s="41" t="n">
        <f aca="false">Historicals!D36</f>
        <v>7326</v>
      </c>
      <c r="C10" s="35" t="n">
        <f aca="false">Historicals!F36+Historicals!H6+MAX(Inputs!$P$75*Inputs!$P$81,Inputs!$P$108*C22)</f>
        <v>28258</v>
      </c>
      <c r="D10" s="35" t="n">
        <f aca="false">MAX(D9,Inputs!$P$108*D22)</f>
        <v>48038.6</v>
      </c>
      <c r="E10" s="35" t="n">
        <f aca="false">MAX(E9,Inputs!$P$108*E22)</f>
        <v>69655.97</v>
      </c>
      <c r="F10" s="35" t="n">
        <f aca="false">MAX(F9,Inputs!$P$108*F22)</f>
        <v>90552.761</v>
      </c>
      <c r="G10" s="35" t="n">
        <f aca="false">MAX(G9,Inputs!$P$108*G22)</f>
        <v>108663.3132</v>
      </c>
    </row>
    <row r="11" customFormat="false" ht="15" hidden="false" customHeight="true" outlineLevel="0" collapsed="false">
      <c r="A11" s="13" t="s">
        <v>220</v>
      </c>
      <c r="B11" s="41" t="n">
        <f aca="false">Historicals!D37</f>
        <v>1839</v>
      </c>
      <c r="C11" s="35" t="n">
        <f aca="false">Historicals!F37+Historicals!H7+Inputs!$P$75*Historicals!H24</f>
        <v>6982.0728945506</v>
      </c>
      <c r="D11" s="35" t="n">
        <f aca="false">D5*Inputs!$P$86</f>
        <v>15187.76</v>
      </c>
      <c r="E11" s="35" t="n">
        <f aca="false">E5*Inputs!$P$87</f>
        <v>21859.526</v>
      </c>
      <c r="F11" s="35" t="n">
        <f aca="false">F5*Inputs!$P$88</f>
        <v>27240.3324</v>
      </c>
      <c r="G11" s="35" t="n">
        <f aca="false">G5*Inputs!$P$89</f>
        <v>31212.880875</v>
      </c>
    </row>
    <row r="12" customFormat="false" ht="15" hidden="false" customHeight="true" outlineLevel="0" collapsed="false">
      <c r="A12" s="13" t="s">
        <v>584</v>
      </c>
      <c r="B12" s="41" t="n">
        <f aca="false">Historicals!D49</f>
        <v>1158</v>
      </c>
      <c r="C12" s="35" t="n">
        <f aca="false">Historicals!F49+Historicals!H19+Inputs!$P$75*Historicals!H29</f>
        <v>4580.19462137297</v>
      </c>
      <c r="D12" s="35" t="n">
        <f aca="false">D5*Inputs!$P$90</f>
        <v>9763.56</v>
      </c>
      <c r="E12" s="35" t="n">
        <f aca="false">E5*Inputs!$P$91</f>
        <v>13452.016</v>
      </c>
      <c r="F12" s="35" t="n">
        <f aca="false">F5*Inputs!$P$92</f>
        <v>15890.1939</v>
      </c>
      <c r="G12" s="35" t="n">
        <f aca="false">G5*Inputs!$P$93</f>
        <v>17025.20775</v>
      </c>
    </row>
    <row r="13" customFormat="false" ht="15" hidden="false" customHeight="true" outlineLevel="0" collapsed="false">
      <c r="A13" s="13" t="s">
        <v>585</v>
      </c>
      <c r="B13" s="41" t="n">
        <f aca="false">Historicals!D39</f>
        <v>568</v>
      </c>
      <c r="C13" s="35" t="n">
        <f aca="false">Historicals!F39+Historicals!H9+Inputs!$P$75*Historicals!H25</f>
        <v>8453.09766454352</v>
      </c>
      <c r="D13" s="35" t="n">
        <f aca="false">D5*Inputs!$P$94</f>
        <v>18442.28</v>
      </c>
      <c r="E13" s="35" t="n">
        <f aca="false">E5*Inputs!$P$95</f>
        <v>26904.032</v>
      </c>
      <c r="F13" s="35" t="n">
        <f aca="false">F5*Inputs!$P$96</f>
        <v>34050.4155</v>
      </c>
      <c r="G13" s="35" t="n">
        <f aca="false">G5*Inputs!$P$97</f>
        <v>42563.019375</v>
      </c>
    </row>
    <row r="14" customFormat="false" ht="15" hidden="false" customHeight="true" outlineLevel="0" collapsed="false">
      <c r="A14" s="13" t="s">
        <v>586</v>
      </c>
      <c r="B14" s="41" t="n">
        <f aca="false">Historicals!D40</f>
        <v>1412</v>
      </c>
      <c r="C14" s="35" t="n">
        <f aca="false">Historicals!F40+Historicals!H10-Inputs!$B$37+Inputs!$P$75*(Historicals!H10-Inputs!$B$37)/Historicals!H5</f>
        <v>5358.27742392074</v>
      </c>
      <c r="D14" s="35" t="n">
        <f aca="false">D5*Inputs!$P$98</f>
        <v>8678.72</v>
      </c>
      <c r="E14" s="35" t="n">
        <f aca="false">E5*Inputs!$P$99</f>
        <v>11770.514</v>
      </c>
      <c r="F14" s="35" t="n">
        <f aca="false">F5*Inputs!$P$100</f>
        <v>13620.1662</v>
      </c>
      <c r="G14" s="35" t="n">
        <f aca="false">G5*Inputs!$P$101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90347.36</v>
      </c>
      <c r="E16" s="36" t="n">
        <f aca="false">E10+E11+E13+E14+E15</f>
        <v>130190.042</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18136.64</v>
      </c>
      <c r="E17" s="34" t="n">
        <f aca="false">E5-E16</f>
        <v>37960.158</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0.167182626009365</v>
      </c>
      <c r="E18" s="16" t="n">
        <f aca="false">IFERROR(E17/E5,0)</f>
        <v>0.225751488847471</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0.442817373990635</v>
      </c>
      <c r="E19" s="16" t="n">
        <f aca="false">IFERROR(E10/E5,0)</f>
        <v>0.414248511152529</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1/(1+Inputs!$B$19+Inputs!$P$104)^1</f>
        <v>0.892857142857143</v>
      </c>
      <c r="E21" s="53" t="n">
        <f aca="false">1/(1+Inputs!$B$19+Inputs!$P$104)^2</f>
        <v>0.79719387755102</v>
      </c>
      <c r="F21" s="53" t="n">
        <f aca="false">1/(1+Inputs!$B$19+Inputs!$P$104)^3</f>
        <v>0.711780247813411</v>
      </c>
      <c r="G21" s="53" t="n">
        <f aca="false">1/(1+Inputs!$B$19+Inputs!$P$104)^4</f>
        <v>0.635518078404831</v>
      </c>
    </row>
    <row r="22" customFormat="false" ht="15" hidden="false" customHeight="true" outlineLevel="0" collapsed="false">
      <c r="A22" s="13" t="s">
        <v>593</v>
      </c>
      <c r="C22" s="35" t="n">
        <f aca="false">Inputs!B$69+Inputs!$B$47*Inputs!$B$46</f>
        <v>11231</v>
      </c>
      <c r="D22" s="35" t="n">
        <f aca="false">Inputs!C$69+Inputs!$B$47*(1-Inputs!$B$46)+Inputs!$B$70*Inputs!$P$109</f>
        <v>97550</v>
      </c>
      <c r="E22" s="35" t="n">
        <f aca="false">Inputs!D$69+Inputs!$B$70*Inputs!$P$110</f>
        <v>107338.25</v>
      </c>
      <c r="F22" s="35" t="n">
        <f aca="false">Inputs!E$69+Inputs!$B$70*Inputs!$P$111</f>
        <v>117031.375</v>
      </c>
      <c r="G22" s="35" t="n">
        <f aca="false">Inputs!F$69+Inputs!$B$70*Inputs!$P$112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200000</v>
      </c>
      <c r="F41" s="35" t="n">
        <f aca="false">E46</f>
        <v>133333.333333333</v>
      </c>
      <c r="G41" s="35" t="n">
        <f aca="false">F46</f>
        <v>66666.6666666666</v>
      </c>
    </row>
    <row r="42" customFormat="false" ht="15" hidden="false" customHeight="true" outlineLevel="0" collapsed="false">
      <c r="A42" s="13" t="s">
        <v>611</v>
      </c>
      <c r="C42" s="33" t="n">
        <v>0</v>
      </c>
      <c r="D42" s="35" t="n">
        <f aca="false">Inputs!$P$107</f>
        <v>200000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66666.6666666667</v>
      </c>
      <c r="F43" s="35" t="n">
        <f aca="false">MAX(0,$D$42/Inputs!$B$40*MIN(2,Inputs!$B$40)-SUM($C45:E45))</f>
        <v>66666.6666666667</v>
      </c>
      <c r="G43" s="35" t="n">
        <f aca="false">MAX(0,$D$42/Inputs!$B$40*MIN(3,Inputs!$B$40)-SUM($C45:F45))</f>
        <v>66666.6666666667</v>
      </c>
    </row>
    <row r="44" customFormat="false" ht="15" hidden="false" customHeight="true" outlineLevel="0" collapsed="false">
      <c r="A44" s="13" t="s">
        <v>613</v>
      </c>
      <c r="C44" s="35" t="n">
        <f aca="false">C10*Inputs!$B$39</f>
        <v>28258</v>
      </c>
      <c r="D44" s="35" t="n">
        <f aca="false">D10*Inputs!$B$39</f>
        <v>48038.6</v>
      </c>
      <c r="E44" s="35" t="n">
        <f aca="false">E10*Inputs!$B$39</f>
        <v>69655.97</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66666.6666666667</v>
      </c>
      <c r="F45" s="36" t="n">
        <f aca="false">MAX(0,MIN(F41+F42,F43,F44))</f>
        <v>66666.6666666667</v>
      </c>
      <c r="G45" s="36" t="n">
        <f aca="false">MAX(0,MIN(G41+G42,G43,G44))</f>
        <v>66666.6666666666</v>
      </c>
    </row>
    <row r="46" customFormat="false" ht="15" hidden="false" customHeight="true" outlineLevel="0" collapsed="false">
      <c r="A46" s="10" t="s">
        <v>615</v>
      </c>
      <c r="C46" s="36" t="n">
        <f aca="false">C41+C42-C45</f>
        <v>0</v>
      </c>
      <c r="D46" s="36" t="n">
        <f aca="false">D41+D42-D45</f>
        <v>200000</v>
      </c>
      <c r="E46" s="36" t="n">
        <f aca="false">E41+E42-E45</f>
        <v>133333.333333333</v>
      </c>
      <c r="F46" s="36" t="n">
        <f aca="false">F41+F42-F45</f>
        <v>66666.6666666666</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18136.64</v>
      </c>
      <c r="E50" s="35" t="n">
        <f aca="false">E17</f>
        <v>37960.158</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17268.768</v>
      </c>
      <c r="E53" s="36" t="n">
        <f aca="false">E50-E52</f>
        <v>35410.784</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0.159182626009365</v>
      </c>
      <c r="E54" s="16" t="n">
        <f aca="false">IFERROR(E53/E49,0)</f>
        <v>0.21059019852489</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0</v>
      </c>
      <c r="E55" s="35" t="n">
        <f aca="false">MAX(0,E80-E81)*Inputs!$B$20</f>
        <v>0</v>
      </c>
      <c r="F55" s="35" t="n">
        <f aca="false">MAX(0,F80-F81)*Inputs!$B$20</f>
        <v>1473.16199071416</v>
      </c>
      <c r="G55" s="35" t="n">
        <f aca="false">MAX(0,G80-G81)*Inputs!$B$20</f>
        <v>4473.47383084871</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17268.768</v>
      </c>
      <c r="E58" s="35" t="n">
        <f aca="false">E53+E55+E56-E57</f>
        <v>35410.784</v>
      </c>
      <c r="F58" s="35" t="n">
        <f aca="false">F53+F55+F56-F57</f>
        <v>58192.8551907142</v>
      </c>
      <c r="G58" s="35" t="n">
        <f aca="false">G53+G55+G56-G57</f>
        <v>81105.5788058487</v>
      </c>
    </row>
    <row r="59" customFormat="false" ht="15" hidden="false" customHeight="true" outlineLevel="0" collapsed="false">
      <c r="A59" s="13" t="s">
        <v>625</v>
      </c>
      <c r="C59" s="35" t="n">
        <f aca="false">C58*Inputs!$B$58</f>
        <v>4617.7799522293</v>
      </c>
      <c r="D59" s="35" t="n">
        <f aca="false">D58*Inputs!$B$58</f>
        <v>12433.51296</v>
      </c>
      <c r="E59" s="35" t="n">
        <f aca="false">E58*Inputs!$B$58</f>
        <v>25495.76448</v>
      </c>
      <c r="F59" s="35" t="n">
        <f aca="false">F58*Inputs!$B$58</f>
        <v>41898.8557373142</v>
      </c>
      <c r="G59" s="35" t="n">
        <f aca="false">G58*Inputs!$B$58</f>
        <v>58396.0167402111</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494.0107776</v>
      </c>
      <c r="E63" s="35" t="n">
        <f aca="false">MAX(0,E59-E61)*Inputs!$B$59</f>
        <v>1529.7458688</v>
      </c>
      <c r="F63" s="35" t="n">
        <f aca="false">MAX(0,F59-F61)*Inputs!$B$59</f>
        <v>2513.93134423885</v>
      </c>
      <c r="G63" s="35" t="n">
        <f aca="false">MAX(0,G59-G61)*Inputs!$B$59</f>
        <v>3503.76100441267</v>
      </c>
    </row>
    <row r="64" customFormat="false" ht="15" hidden="false" customHeight="true" outlineLevel="0" collapsed="false">
      <c r="A64" s="13" t="s">
        <v>630</v>
      </c>
      <c r="C64" s="35" t="n">
        <f aca="false">C58-C63</f>
        <v>6136.51646985139</v>
      </c>
      <c r="D64" s="35" t="n">
        <f aca="false">D58-D63</f>
        <v>16774.7572224</v>
      </c>
      <c r="E64" s="35" t="n">
        <f aca="false">E58-E63</f>
        <v>33881.0381312</v>
      </c>
      <c r="F64" s="35" t="n">
        <f aca="false">F58-F63</f>
        <v>55678.9238464753</v>
      </c>
      <c r="G64" s="35" t="n">
        <f aca="false">G58-G63</f>
        <v>77601.8178014361</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2831.63378363903</v>
      </c>
      <c r="E68" s="35" t="n">
        <f aca="false">MAX(0,E64-E66)*Inputs!$B$55</f>
        <v>7115.018007552</v>
      </c>
      <c r="F68" s="35" t="n">
        <f aca="false">MAX(0,F64-F66)*Inputs!$B$55</f>
        <v>11692.5740077598</v>
      </c>
      <c r="G68" s="35" t="n">
        <f aca="false">MAX(0,G64-G66)*Inputs!$B$55</f>
        <v>16296.3817383016</v>
      </c>
    </row>
    <row r="69" customFormat="false" ht="15" hidden="false" customHeight="true" outlineLevel="0" collapsed="false">
      <c r="A69" s="10" t="s">
        <v>635</v>
      </c>
      <c r="C69" s="36" t="n">
        <f aca="false">IF(Inputs!$P$105=0,MAX(0,C53+C55)*Inputs!B$66,IF(Inputs!$P$105=2,MAX(0,C58)*Inputs!$P$106,C63+C68))</f>
        <v>534.800488867516</v>
      </c>
      <c r="D69" s="36" t="n">
        <f aca="false">IF(Inputs!$P$105=0,MAX(0,D53+D55)*Inputs!C$66,IF(Inputs!$P$105=2,MAX(0,D58)*Inputs!$P$106,D63+D68))</f>
        <v>3325.64456123903</v>
      </c>
      <c r="E69" s="36" t="n">
        <f aca="false">IF(Inputs!$P$105=0,MAX(0,E53+E55)*Inputs!D$66,IF(Inputs!$P$105=2,MAX(0,E58)*Inputs!$P$106,E63+E68))</f>
        <v>8644.763876352</v>
      </c>
      <c r="F69" s="36" t="n">
        <f aca="false">IF(Inputs!$P$105=0,MAX(0,F53+F55)*Inputs!E$66,IF(Inputs!$P$105=2,MAX(0,F58)*Inputs!$P$106,F63+F68))</f>
        <v>14206.5053519987</v>
      </c>
      <c r="G69" s="36" t="n">
        <f aca="false">IF(Inputs!$P$105=0,MAX(0,G53+G55)*Inputs!F$66,IF(Inputs!$P$105=2,MAX(0,G58)*Inputs!$P$106,G63+G68))</f>
        <v>19800.1427427142</v>
      </c>
    </row>
    <row r="70" customFormat="false" ht="15" hidden="false" customHeight="true" outlineLevel="0" collapsed="false">
      <c r="A70" s="13" t="s">
        <v>636</v>
      </c>
      <c r="C70" s="16" t="n">
        <f aca="false">IF(C58&gt;0,MIN(1,C69/C58),0)</f>
        <v>0.0833856</v>
      </c>
      <c r="D70" s="16" t="n">
        <f aca="false">IF(D58&gt;0,MIN(1,D69/D58),0)</f>
        <v>0.192581460428389</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13943.123438761</v>
      </c>
      <c r="E71" s="35" t="n">
        <f aca="false">E53+E55-E69</f>
        <v>26766.020123648</v>
      </c>
      <c r="F71" s="35" t="n">
        <f aca="false">F53+F55-F69</f>
        <v>43986.3498387155</v>
      </c>
      <c r="G71" s="35" t="n">
        <f aca="false">G53+G55-G69</f>
        <v>61305.4360631345</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-200000</v>
      </c>
      <c r="E74" s="35" t="n">
        <f aca="false">-E$42+E$45</f>
        <v>66666.6666666667</v>
      </c>
      <c r="F74" s="35" t="n">
        <f aca="false">-F$42+F$45</f>
        <v>66666.6666666667</v>
      </c>
      <c r="G74" s="35" t="n">
        <f aca="false">-G$42+G$45</f>
        <v>66666.6666666666</v>
      </c>
    </row>
    <row r="75" customFormat="false" ht="15" hidden="false" customHeight="true" outlineLevel="0" collapsed="false">
      <c r="A75" s="10" t="s">
        <v>641</v>
      </c>
      <c r="C75" s="36" t="n">
        <f aca="false">C53+C72+C52+C55-C69-C51+C73+C74</f>
        <v>10917.7173994906</v>
      </c>
      <c r="D75" s="36" t="n">
        <f aca="false">D53+D72+D52+D55-D69-D51+D73+D74</f>
        <v>-179764.804561239</v>
      </c>
      <c r="E75" s="36" t="n">
        <f aca="false">E53+E72+E52+E55-E69-E51+E73+E74</f>
        <v>101026.566790315</v>
      </c>
      <c r="F75" s="36" t="n">
        <f aca="false">F53+F72+F52+F55-F69-F51+F73+F74</f>
        <v>120012.473605382</v>
      </c>
      <c r="G75" s="36" t="n">
        <f aca="false">G53+G72+G52+G55-G69-G51+G73+G74</f>
        <v>138466.573679801</v>
      </c>
    </row>
    <row r="76" customFormat="false" ht="15" hidden="false" customHeight="true" outlineLevel="0" collapsed="false">
      <c r="A76" s="10" t="s">
        <v>642</v>
      </c>
      <c r="C76" s="36" t="n">
        <f aca="false">C53+C52-(C69-C55*C70)-C51+C73+C74</f>
        <v>1333.91049871763</v>
      </c>
      <c r="D76" s="36" t="n">
        <f aca="false">D53+D52-(D69-D55*D70)-D51+D73+D74</f>
        <v>-189528.364561239</v>
      </c>
      <c r="E76" s="36" t="n">
        <f aca="false">E53+E52-(E69-E55*E70)-E51+E73+E74</f>
        <v>87574.5507903147</v>
      </c>
      <c r="F76" s="36" t="n">
        <f aca="false">F53+F52-(F69-F55*F70)-F51+F73+F74</f>
        <v>103008.757805137</v>
      </c>
      <c r="G76" s="36" t="n">
        <f aca="false">G53+G52-(G69-G55*G70)-G51+G73+G74</f>
        <v>118059.99231833</v>
      </c>
    </row>
    <row r="77" customFormat="false" ht="15" hidden="false" customHeight="true" outlineLevel="0" collapsed="false">
      <c r="A77" s="13" t="s">
        <v>643</v>
      </c>
      <c r="C77" s="16" t="n">
        <f aca="false">IFERROR(C76/C49,0)</f>
        <v>0.0245918384041449</v>
      </c>
      <c r="D77" s="16" t="n">
        <f aca="false">IFERROR(D76/D49,0)</f>
        <v>-1.74706283471516</v>
      </c>
      <c r="E77" s="16" t="n">
        <f aca="false">IFERROR(E76/E49,0)</f>
        <v>0.520811457793774</v>
      </c>
      <c r="F77" s="16" t="n">
        <f aca="false">IFERROR(F76/F49,0)</f>
        <v>0.453777536746081</v>
      </c>
      <c r="G77" s="16" t="n">
        <f aca="false">IFERROR(G76/G49,0)</f>
        <v>0.416065380412159</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-42100.0871617484</v>
      </c>
      <c r="F80" s="35" t="n">
        <f aca="false">E85</f>
        <v>58926.4796285662</v>
      </c>
      <c r="G80" s="35" t="n">
        <f aca="false">F85</f>
        <v>178938.953233948</v>
      </c>
    </row>
    <row r="81" customFormat="false" ht="15" hidden="false" customHeight="true" outlineLevel="0" collapsed="false">
      <c r="A81" s="13" t="s">
        <v>647</v>
      </c>
      <c r="C81" s="35" t="n">
        <f aca="false">C$42</f>
        <v>0</v>
      </c>
      <c r="D81" s="35" t="n">
        <f aca="false">D$42</f>
        <v>200000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-179764.804561239</v>
      </c>
      <c r="E82" s="35" t="n">
        <f aca="false">E75</f>
        <v>101026.566790315</v>
      </c>
      <c r="F82" s="35" t="n">
        <f aca="false">F75</f>
        <v>120012.473605382</v>
      </c>
      <c r="G82" s="35" t="n">
        <f aca="false">G75</f>
        <v>138466.573679801</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-42100.0871617484</v>
      </c>
      <c r="E85" s="36" t="n">
        <f aca="false">E80+E82+E83+E84</f>
        <v>58926.4796285662</v>
      </c>
      <c r="F85" s="36" t="n">
        <f aca="false">F80+F82+F83+F84</f>
        <v>178938.953233948</v>
      </c>
      <c r="G85" s="36" t="n">
        <f aca="false">G80+G82+G83+G84</f>
        <v>317405.52691375</v>
      </c>
    </row>
    <row r="86" customFormat="false" ht="15" hidden="false" customHeight="true" outlineLevel="0" collapsed="false">
      <c r="A86" s="13" t="s">
        <v>653</v>
      </c>
      <c r="C86" s="35" t="n">
        <f aca="false">MIN(C80-C81,C85)</f>
        <v>131845</v>
      </c>
      <c r="D86" s="35" t="n">
        <f aca="false">MIN(D80-D81,D85)</f>
        <v>-62335.2826005094</v>
      </c>
      <c r="E86" s="35" t="n">
        <f aca="false">MIN(E80-E81,E85)</f>
        <v>-42100.0871617484</v>
      </c>
      <c r="F86" s="35" t="n">
        <f aca="false">MIN(F80-F81,F85)</f>
        <v>58926.4796285662</v>
      </c>
      <c r="G86" s="35" t="n">
        <f aca="false">MIN(G80-G81,G85)</f>
        <v>178938.953233948</v>
      </c>
    </row>
    <row r="87" customFormat="false" ht="15" hidden="false" customHeight="true" outlineLevel="0" collapsed="false">
      <c r="A87" s="13" t="s">
        <v>654</v>
      </c>
      <c r="C87" s="35" t="n">
        <f aca="false">C86-Inputs!$B$29</f>
        <v>126845</v>
      </c>
      <c r="D87" s="35" t="n">
        <f aca="false">D86-Inputs!$B$29</f>
        <v>-67335.2826005094</v>
      </c>
      <c r="E87" s="35" t="n">
        <f aca="false">E86-Inputs!$B$29</f>
        <v>-47100.0871617484</v>
      </c>
      <c r="F87" s="35" t="n">
        <f aca="false">F86-Inputs!$B$29</f>
        <v>53926.4796285662</v>
      </c>
      <c r="G87" s="35" t="n">
        <f aca="false">G86-Inputs!$B$29</f>
        <v>173938.953233948</v>
      </c>
    </row>
    <row r="88" customFormat="false" ht="15" hidden="false" customHeight="true" outlineLevel="0" collapsed="false">
      <c r="A88" s="13" t="s">
        <v>655</v>
      </c>
      <c r="C88" s="56" t="str">
        <f aca="false">IF(C85&lt;Inputs!$B$38,"Below","OK")</f>
        <v>OK</v>
      </c>
      <c r="D88" s="56" t="str">
        <f aca="false">IF(D85&lt;Inputs!$B$38,"Below","OK")</f>
        <v>Below</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Shortfall</v>
      </c>
      <c r="E89" s="56" t="str">
        <f aca="false">IF(E87&lt;0,"Shortfall","OK")</f>
        <v>Shortfall</v>
      </c>
      <c r="F89" s="56" t="str">
        <f aca="false">IF(F87&lt;0,"Shortfall","OK")</f>
        <v>OK</v>
      </c>
      <c r="G89" s="56" t="str">
        <f aca="false">IF(G87&lt;0,"Shortfall","OK")</f>
        <v>OK</v>
      </c>
    </row>
    <row r="90" customFormat="false" ht="15" hidden="false" customHeight="true" outlineLevel="0" collapsed="false">
      <c r="A90" s="10" t="s">
        <v>657</v>
      </c>
      <c r="G90" s="36" t="n">
        <f aca="false">MAX(0,-MIN(C87:G87))</f>
        <v>67335.2826005094</v>
      </c>
    </row>
    <row r="91" customFormat="false" ht="15" hidden="false" customHeight="true" outlineLevel="0" collapsed="false">
      <c r="A91" s="13" t="s">
        <v>658</v>
      </c>
      <c r="G91" s="35" t="n">
        <f aca="false">MAX(0,-MIN(C86:G86))</f>
        <v>62335.2826005094</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n">
        <f aca="false">IF(G90=0,"none",IFERROR(2025+MATCH(1,INDEX(--(C87:G87&lt;0),0),0),"none"))</f>
        <v>2027</v>
      </c>
    </row>
    <row r="94" customFormat="false" ht="15" hidden="false" customHeight="true" outlineLevel="0" collapsed="false">
      <c r="A94" s="13" t="s">
        <v>661</v>
      </c>
      <c r="G94" s="35" t="n">
        <f aca="false">G90</f>
        <v>67335.2826005094</v>
      </c>
    </row>
    <row r="95" customFormat="false" ht="15" hidden="false" customHeight="true" outlineLevel="0" collapsed="false">
      <c r="A95" s="13" t="s">
        <v>662</v>
      </c>
      <c r="G95" s="35" t="n">
        <f aca="false">G94/(1-Inputs!$B$31)*Inputs!$B$31</f>
        <v>2082.53451341782</v>
      </c>
    </row>
    <row r="96" customFormat="false" ht="15" hidden="false" customHeight="true" outlineLevel="0" collapsed="false">
      <c r="A96" s="13" t="s">
        <v>663</v>
      </c>
      <c r="G96" s="35" t="n">
        <f aca="false">G94+G95</f>
        <v>69417.8171139272</v>
      </c>
    </row>
    <row r="97" customFormat="false" ht="15" hidden="false" customHeight="true" outlineLevel="0" collapsed="false">
      <c r="A97" s="13" t="s">
        <v>664</v>
      </c>
      <c r="C97" s="35" t="n">
        <f aca="false">IF(AND(ISNUMBER($G$93),$G$93=2026),$G$94,0)</f>
        <v>0</v>
      </c>
      <c r="D97" s="35" t="n">
        <f aca="false">IF(AND(ISNUMBER($G$93),$G$93=2027),$G$94,0)</f>
        <v>67335.2826005094</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125</v>
      </c>
      <c r="E98" s="35" t="n">
        <f aca="false">MAX(0,D100-E81+E97)*Inputs!$B$20-E55</f>
        <v>633.403068905186</v>
      </c>
      <c r="F98" s="35" t="n">
        <f aca="false">MAX(0,E100-F81+F97)*Inputs!$B$20-F55</f>
        <v>1697.87453906138</v>
      </c>
      <c r="G98" s="35" t="n">
        <f aca="false">MAX(0,F100-G81+G97)*Inputs!$B$20-G55</f>
        <v>1729.95893465112</v>
      </c>
    </row>
    <row r="99" customFormat="false" ht="15" hidden="false" customHeight="true" outlineLevel="0" collapsed="false">
      <c r="A99" s="13" t="s">
        <v>666</v>
      </c>
      <c r="C99" s="35" t="n">
        <f aca="false">C98*C70</f>
        <v>0</v>
      </c>
      <c r="D99" s="35" t="n">
        <f aca="false">D98*D70</f>
        <v>24.0726825535486</v>
      </c>
      <c r="E99" s="35" t="n">
        <f aca="false">E98*E70</f>
        <v>154.631424405685</v>
      </c>
      <c r="F99" s="35" t="n">
        <f aca="false">F98*F70</f>
        <v>414.498715471978</v>
      </c>
      <c r="G99" s="35" t="n">
        <f aca="false">G98*G70</f>
        <v>422.331414798509</v>
      </c>
    </row>
    <row r="100" customFormat="false" ht="15" hidden="false" customHeight="true" outlineLevel="0" collapsed="false">
      <c r="A100" s="13" t="s">
        <v>667</v>
      </c>
      <c r="C100" s="35" t="n">
        <f aca="false">C85+SUM($C97:C97)+SUM($C98:C98)-SUM($C99:C99)</f>
        <v>137664.717399491</v>
      </c>
      <c r="D100" s="35" t="n">
        <f aca="false">D85+SUM($C97:D97)+SUM($C98:D98)-SUM($C99:D99)</f>
        <v>25336.1227562074</v>
      </c>
      <c r="E100" s="35" t="n">
        <f aca="false">E85+SUM($C97:E97)+SUM($C98:E98)-SUM($C99:E99)</f>
        <v>126841.461191022</v>
      </c>
      <c r="F100" s="35" t="n">
        <f aca="false">F85+SUM($C97:F97)+SUM($C98:F98)-SUM($C99:F99)</f>
        <v>248137.310619993</v>
      </c>
      <c r="G100" s="35" t="n">
        <f aca="false">G85+SUM($C97:G97)+SUM($C98:G98)-SUM($C99:G99)</f>
        <v>387911.511819647</v>
      </c>
    </row>
    <row r="101" customFormat="false" ht="15" hidden="false" customHeight="true" outlineLevel="0" collapsed="false">
      <c r="A101" s="13" t="s">
        <v>668</v>
      </c>
      <c r="C101" s="35" t="n">
        <f aca="false">MIN(C80-C81+0+C97,C100)</f>
        <v>131845</v>
      </c>
      <c r="D101" s="35" t="n">
        <f aca="false">MIN(D80-D81+SUM($C97:C97)+SUM($C98:C98)-SUM($C99:C99)+D97,D100)</f>
        <v>5000</v>
      </c>
      <c r="E101" s="35" t="n">
        <f aca="false">MIN(E80-E81+SUM($C97:D97)+SUM($C98:D98)-SUM($C99:D99)+E97,E100)</f>
        <v>25336.1227562074</v>
      </c>
      <c r="F101" s="35" t="n">
        <f aca="false">MIN(F80-F81+SUM($C97:E97)+SUM($C98:E98)-SUM($C99:E99)+F97,F100)</f>
        <v>126841.461191022</v>
      </c>
      <c r="G101" s="35" t="n">
        <f aca="false">MIN(G80-G81+SUM($C97:F97)+SUM($C98:F98)-SUM($C99:F99)+G97,G100)</f>
        <v>248137.310619993</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18917.7248</v>
      </c>
      <c r="E106" s="35" t="n">
        <f aca="false">E17+E35</f>
        <v>40986.8616</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18034.231104</v>
      </c>
      <c r="E109" s="36" t="n">
        <f aca="false">E106-E108</f>
        <v>38346.198314</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0.163299239694858</v>
      </c>
      <c r="E110" s="16" t="n">
        <f aca="false">IFERROR(E109/E105,0)</f>
        <v>0.218227076841229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0</v>
      </c>
      <c r="E111" s="35" t="n">
        <f aca="false">MAX(0,E136-E137)*Inputs!$B$20</f>
        <v>0</v>
      </c>
      <c r="F111" s="35" t="n">
        <f aca="false">MAX(0,F136-F137)*Inputs!$B$20</f>
        <v>1534.35834490662</v>
      </c>
      <c r="G111" s="35" t="n">
        <f aca="false">MAX(0,G136-G137)*Inputs!$B$20</f>
        <v>4666.51937841657</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18034.231104</v>
      </c>
      <c r="E114" s="35" t="n">
        <f aca="false">E109+E111+E112-E113</f>
        <v>38346.198314</v>
      </c>
      <c r="F114" s="35" t="n">
        <f aca="false">F109+F111+F112-F113</f>
        <v>66130.5594859066</v>
      </c>
      <c r="G114" s="35" t="n">
        <f aca="false">G109+G111+G112-G113</f>
        <v>95942.6523750416</v>
      </c>
    </row>
    <row r="115" customFormat="false" ht="15" hidden="false" customHeight="true" outlineLevel="0" collapsed="false">
      <c r="A115" s="13" t="s">
        <v>625</v>
      </c>
      <c r="C115" s="35" t="n">
        <f aca="false">C114*Inputs!$B$58</f>
        <v>4617.7799522293</v>
      </c>
      <c r="D115" s="35" t="n">
        <f aca="false">D114*Inputs!$B$58</f>
        <v>12984.64639488</v>
      </c>
      <c r="E115" s="35" t="n">
        <f aca="false">E114*Inputs!$B$58</f>
        <v>27609.26278608</v>
      </c>
      <c r="F115" s="35" t="n">
        <f aca="false">F114*Inputs!$B$58</f>
        <v>47614.0028298528</v>
      </c>
      <c r="G115" s="35" t="n">
        <f aca="false">G114*Inputs!$B$58</f>
        <v>69078.7097100299</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527.0787836928</v>
      </c>
      <c r="E119" s="35" t="n">
        <f aca="false">MAX(0,E115-E117)*Inputs!$B$59</f>
        <v>1656.5557671648</v>
      </c>
      <c r="F119" s="35" t="n">
        <f aca="false">MAX(0,F115-F117)*Inputs!$B$59</f>
        <v>2856.84016979117</v>
      </c>
      <c r="G119" s="35" t="n">
        <f aca="false">MAX(0,G115-G117)*Inputs!$B$59</f>
        <v>4144.7225826018</v>
      </c>
    </row>
    <row r="120" customFormat="false" ht="15" hidden="false" customHeight="true" outlineLevel="0" collapsed="false">
      <c r="A120" s="13" t="s">
        <v>630</v>
      </c>
      <c r="C120" s="35" t="n">
        <f aca="false">C114-C119</f>
        <v>6136.51646985139</v>
      </c>
      <c r="D120" s="35" t="n">
        <f aca="false">D114-D119</f>
        <v>17507.1523203072</v>
      </c>
      <c r="E120" s="35" t="n">
        <f aca="false">E114-E119</f>
        <v>36689.6425468352</v>
      </c>
      <c r="F120" s="35" t="n">
        <f aca="false">F114-F119</f>
        <v>63273.7193161155</v>
      </c>
      <c r="G120" s="35" t="n">
        <f aca="false">G114-G119</f>
        <v>91797.9297924398</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2985.43675419954</v>
      </c>
      <c r="E124" s="35" t="n">
        <f aca="false">MAX(0,E120-E122)*Inputs!$B$55</f>
        <v>7704.82493483539</v>
      </c>
      <c r="F124" s="35" t="n">
        <f aca="false">MAX(0,F120-F122)*Inputs!$B$55</f>
        <v>13287.4810563842</v>
      </c>
      <c r="G124" s="35" t="n">
        <f aca="false">MAX(0,G120-G122)*Inputs!$B$55</f>
        <v>19277.5652564124</v>
      </c>
    </row>
    <row r="125" customFormat="false" ht="15" hidden="false" customHeight="true" outlineLevel="0" collapsed="false">
      <c r="A125" s="10" t="s">
        <v>635</v>
      </c>
      <c r="C125" s="36" t="n">
        <f aca="false">IF(Inputs!$P$105=0,MAX(0,C109+C111)*Inputs!B$66,IF(Inputs!$P$105=2,MAX(0,C114)*Inputs!$P$106,C119+C124))</f>
        <v>534.800488867516</v>
      </c>
      <c r="D125" s="36" t="n">
        <f aca="false">IF(Inputs!$P$105=0,MAX(0,D109+D111)*Inputs!C$66,IF(Inputs!$P$105=2,MAX(0,D114)*Inputs!$P$106,D119+D124))</f>
        <v>3512.51553789234</v>
      </c>
      <c r="E125" s="36" t="n">
        <f aca="false">IF(Inputs!$P$105=0,MAX(0,E109+E111)*Inputs!D$66,IF(Inputs!$P$105=2,MAX(0,E114)*Inputs!$P$106,E119+E124))</f>
        <v>9361.3807020002</v>
      </c>
      <c r="F125" s="36" t="n">
        <f aca="false">IF(Inputs!$P$105=0,MAX(0,F109+F111)*Inputs!E$66,IF(Inputs!$P$105=2,MAX(0,F114)*Inputs!$P$106,F119+F124))</f>
        <v>16144.3212261754</v>
      </c>
      <c r="G125" s="36" t="n">
        <f aca="false">IF(Inputs!$P$105=0,MAX(0,G109+G111)*Inputs!F$66,IF(Inputs!$P$105=2,MAX(0,G114)*Inputs!$P$106,G119+G124))</f>
        <v>23422.2878390142</v>
      </c>
    </row>
    <row r="126" customFormat="false" ht="15" hidden="false" customHeight="true" outlineLevel="0" collapsed="false">
      <c r="A126" s="13" t="s">
        <v>636</v>
      </c>
      <c r="C126" s="16" t="n">
        <f aca="false">IF(C114&gt;0,MIN(1,C125/C114),0)</f>
        <v>0.0833856</v>
      </c>
      <c r="D126" s="16" t="n">
        <f aca="false">IF(D114&gt;0,MIN(1,D125/D114),0)</f>
        <v>0.194769353771521</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14521.7155661077</v>
      </c>
      <c r="E127" s="35" t="n">
        <f aca="false">E109+E111-E125</f>
        <v>28984.8176119998</v>
      </c>
      <c r="F127" s="35" t="n">
        <f aca="false">F109+F111-F125</f>
        <v>49986.2382597312</v>
      </c>
      <c r="G127" s="35" t="n">
        <f aca="false">G109+G111-G125</f>
        <v>72520.3645360274</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-200000</v>
      </c>
      <c r="E130" s="35" t="n">
        <f aca="false">-E$42+E$45</f>
        <v>66666.6666666667</v>
      </c>
      <c r="F130" s="35" t="n">
        <f aca="false">-F$42+F$45</f>
        <v>66666.6666666667</v>
      </c>
      <c r="G130" s="35" t="n">
        <f aca="false">-G$42+G$45</f>
        <v>66666.6666666666</v>
      </c>
    </row>
    <row r="131" customFormat="false" ht="15" hidden="false" customHeight="true" outlineLevel="0" collapsed="false">
      <c r="A131" s="10" t="s">
        <v>641</v>
      </c>
      <c r="C131" s="36" t="n">
        <f aca="false">C109+C128+C108+C111-C125-C107+C129+C130</f>
        <v>10917.7173994906</v>
      </c>
      <c r="D131" s="36" t="n">
        <f aca="false">D109+D128+D108+D111-D125-D107+D129+D130</f>
        <v>-179248.699217892</v>
      </c>
      <c r="E131" s="36" t="n">
        <f aca="false">E109+E128+E108+E111-E125-E107+E129+E130</f>
        <v>102958.315614667</v>
      </c>
      <c r="F131" s="36" t="n">
        <f aca="false">F109+F128+F108+F111-F125-F107+F129+F130</f>
        <v>125286.441340398</v>
      </c>
      <c r="G131" s="36" t="n">
        <f aca="false">G109+G128+G108+G111-G125-G107+G129+G130</f>
        <v>148444.825234194</v>
      </c>
    </row>
    <row r="132" customFormat="false" ht="15" hidden="false" customHeight="true" outlineLevel="0" collapsed="false">
      <c r="A132" s="10" t="s">
        <v>642</v>
      </c>
      <c r="C132" s="36" t="n">
        <f aca="false">C109+C108-(C125-C111*C126)-C107+C129+C130</f>
        <v>1333.91049871763</v>
      </c>
      <c r="D132" s="36" t="n">
        <f aca="false">D109+D108-(D125-D111*D126)-D107+D129+D130</f>
        <v>-189012.259217892</v>
      </c>
      <c r="E132" s="36" t="n">
        <f aca="false">E109+E108-(E125-E111*E126)-E107+E129+E130</f>
        <v>89506.2996146665</v>
      </c>
      <c r="F132" s="36" t="n">
        <f aca="false">F109+F108-(F125-F111*F126)-F107+F129+F130</f>
        <v>108236.468929517</v>
      </c>
      <c r="G132" s="36" t="n">
        <f aca="false">G109+G108-(G125-G111*G126)-G107+G129+G130</f>
        <v>127892.326148592</v>
      </c>
    </row>
    <row r="133" customFormat="false" ht="15" hidden="false" customHeight="true" outlineLevel="0" collapsed="false">
      <c r="A133" s="13" t="s">
        <v>643</v>
      </c>
      <c r="C133" s="16" t="n">
        <f aca="false">IFERROR(C132/C105,0)</f>
        <v>0.0245918384041449</v>
      </c>
      <c r="D133" s="16" t="n">
        <f aca="false">IFERROR(D132/D105,0)</f>
        <v>-1.71149843014063</v>
      </c>
      <c r="E133" s="16" t="n">
        <f aca="false">IFERROR(E132/E105,0)</f>
        <v>0.509377695380367</v>
      </c>
      <c r="F133" s="16" t="n">
        <f aca="false">IFERROR(F132/F105,0)</f>
        <v>0.437437449681222</v>
      </c>
      <c r="G133" s="16" t="n">
        <f aca="false">IFERROR(G132/G105,0)</f>
        <v>0.397106920120987</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-41583.9818184018</v>
      </c>
      <c r="F136" s="35" t="n">
        <f aca="false">E141</f>
        <v>61374.3337962648</v>
      </c>
      <c r="G136" s="35" t="n">
        <f aca="false">F141</f>
        <v>186660.775136663</v>
      </c>
    </row>
    <row r="137" customFormat="false" ht="15" hidden="false" customHeight="true" outlineLevel="0" collapsed="false">
      <c r="A137" s="13" t="s">
        <v>647</v>
      </c>
      <c r="C137" s="35" t="n">
        <f aca="false">C$42</f>
        <v>0</v>
      </c>
      <c r="D137" s="35" t="n">
        <f aca="false">D$42</f>
        <v>200000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-179248.699217892</v>
      </c>
      <c r="E138" s="35" t="n">
        <f aca="false">E131</f>
        <v>102958.315614667</v>
      </c>
      <c r="F138" s="35" t="n">
        <f aca="false">F131</f>
        <v>125286.441340398</v>
      </c>
      <c r="G138" s="35" t="n">
        <f aca="false">G131</f>
        <v>148444.825234194</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-41583.9818184018</v>
      </c>
      <c r="E141" s="36" t="n">
        <f aca="false">E136+E138+E139+E140</f>
        <v>61374.3337962648</v>
      </c>
      <c r="F141" s="36" t="n">
        <f aca="false">F136+F138+F139+F140</f>
        <v>186660.775136663</v>
      </c>
      <c r="G141" s="36" t="n">
        <f aca="false">G136+G138+G139+G140</f>
        <v>335105.600370857</v>
      </c>
    </row>
    <row r="142" customFormat="false" ht="15" hidden="false" customHeight="true" outlineLevel="0" collapsed="false">
      <c r="A142" s="13" t="s">
        <v>653</v>
      </c>
      <c r="C142" s="35" t="n">
        <f aca="false">MIN(C136-C137,C141)</f>
        <v>131845</v>
      </c>
      <c r="D142" s="35" t="n">
        <f aca="false">MIN(D136-D137,D141)</f>
        <v>-62335.2826005094</v>
      </c>
      <c r="E142" s="35" t="n">
        <f aca="false">MIN(E136-E137,E141)</f>
        <v>-41583.9818184018</v>
      </c>
      <c r="F142" s="35" t="n">
        <f aca="false">MIN(F136-F137,F141)</f>
        <v>61374.3337962648</v>
      </c>
      <c r="G142" s="35" t="n">
        <f aca="false">MIN(G136-G137,G141)</f>
        <v>186660.775136663</v>
      </c>
    </row>
    <row r="143" customFormat="false" ht="15" hidden="false" customHeight="true" outlineLevel="0" collapsed="false">
      <c r="A143" s="13" t="s">
        <v>654</v>
      </c>
      <c r="C143" s="35" t="n">
        <f aca="false">C142-Inputs!$B$29</f>
        <v>126845</v>
      </c>
      <c r="D143" s="35" t="n">
        <f aca="false">D142-Inputs!$B$29</f>
        <v>-67335.2826005094</v>
      </c>
      <c r="E143" s="35" t="n">
        <f aca="false">E142-Inputs!$B$29</f>
        <v>-46583.9818184018</v>
      </c>
      <c r="F143" s="35" t="n">
        <f aca="false">F142-Inputs!$B$29</f>
        <v>56374.3337962648</v>
      </c>
      <c r="G143" s="35" t="n">
        <f aca="false">G142-Inputs!$B$29</f>
        <v>181660.775136663</v>
      </c>
    </row>
    <row r="144" customFormat="false" ht="15" hidden="false" customHeight="true" outlineLevel="0" collapsed="false">
      <c r="A144" s="13" t="s">
        <v>655</v>
      </c>
      <c r="C144" s="56" t="str">
        <f aca="false">IF(C141&lt;Inputs!$B$38,"Below","OK")</f>
        <v>OK</v>
      </c>
      <c r="D144" s="56" t="str">
        <f aca="false">IF(D141&lt;Inputs!$B$38,"Below","OK")</f>
        <v>Below</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Shortfall</v>
      </c>
      <c r="E145" s="56" t="str">
        <f aca="false">IF(E143&lt;0,"Shortfall","OK")</f>
        <v>Shortfall</v>
      </c>
      <c r="F145" s="56" t="str">
        <f aca="false">IF(F143&lt;0,"Shortfall","OK")</f>
        <v>OK</v>
      </c>
      <c r="G145" s="56" t="str">
        <f aca="false">IF(G143&lt;0,"Shortfall","OK")</f>
        <v>OK</v>
      </c>
    </row>
    <row r="146" customFormat="false" ht="15" hidden="false" customHeight="true" outlineLevel="0" collapsed="false">
      <c r="A146" s="10" t="s">
        <v>657</v>
      </c>
      <c r="G146" s="36" t="n">
        <f aca="false">MAX(0,-MIN(C143:G143))</f>
        <v>67335.2826005094</v>
      </c>
    </row>
    <row r="147" customFormat="false" ht="15" hidden="false" customHeight="true" outlineLevel="0" collapsed="false">
      <c r="A147" s="13" t="s">
        <v>658</v>
      </c>
      <c r="G147" s="35" t="n">
        <f aca="false">MAX(0,-MIN(C142:G142))</f>
        <v>62335.2826005094</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n">
        <f aca="false">IF(G146=0,"none",IFERROR(2025+MATCH(1,INDEX(--(C143:G143&lt;0),0),0),"none"))</f>
        <v>2027</v>
      </c>
    </row>
    <row r="150" customFormat="false" ht="15" hidden="false" customHeight="true" outlineLevel="0" collapsed="false">
      <c r="A150" s="13" t="s">
        <v>661</v>
      </c>
      <c r="G150" s="35" t="n">
        <f aca="false">G146</f>
        <v>67335.2826005094</v>
      </c>
    </row>
    <row r="151" customFormat="false" ht="15" hidden="false" customHeight="true" outlineLevel="0" collapsed="false">
      <c r="A151" s="13" t="s">
        <v>662</v>
      </c>
      <c r="G151" s="35" t="n">
        <f aca="false">G150/(1-Inputs!$B$31)*Inputs!$B$31</f>
        <v>2082.53451341782</v>
      </c>
    </row>
    <row r="152" customFormat="false" ht="15" hidden="false" customHeight="true" outlineLevel="0" collapsed="false">
      <c r="A152" s="13" t="s">
        <v>663</v>
      </c>
      <c r="G152" s="35" t="n">
        <f aca="false">G150+G151</f>
        <v>69417.8171139272</v>
      </c>
    </row>
    <row r="153" customFormat="false" ht="15" hidden="false" customHeight="true" outlineLevel="0" collapsed="false">
      <c r="A153" s="13" t="s">
        <v>664</v>
      </c>
      <c r="C153" s="35" t="n">
        <f aca="false">IF(AND(ISNUMBER($G$149),$G$149=2026),$G$150,0)</f>
        <v>0</v>
      </c>
      <c r="D153" s="35" t="n">
        <f aca="false">IF(AND(ISNUMBER($G$149),$G$149=2027),$G$150,0)</f>
        <v>67335.2826005094</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125</v>
      </c>
      <c r="E154" s="35" t="n">
        <f aca="false">MAX(0,D156-E137+E153)*Inputs!$B$20-E111</f>
        <v>646.298865322156</v>
      </c>
      <c r="F154" s="35" t="n">
        <f aca="false">MAX(0,E156-F137+F153)*Inputs!$B$20-F111</f>
        <v>1698.11139118042</v>
      </c>
      <c r="G154" s="35" t="n">
        <f aca="false">MAX(0,F156-G137+G153)*Inputs!$B$20-G111</f>
        <v>1730.20026251728</v>
      </c>
    </row>
    <row r="155" customFormat="false" ht="15" hidden="false" customHeight="true" outlineLevel="0" collapsed="false">
      <c r="A155" s="13" t="s">
        <v>666</v>
      </c>
      <c r="C155" s="35" t="n">
        <f aca="false">C154*C126</f>
        <v>0</v>
      </c>
      <c r="D155" s="35" t="n">
        <f aca="false">D154*D126</f>
        <v>24.3461692214401</v>
      </c>
      <c r="E155" s="35" t="n">
        <f aca="false">E154*E126</f>
        <v>157.779649393367</v>
      </c>
      <c r="F155" s="35" t="n">
        <f aca="false">F154*F126</f>
        <v>414.556537706093</v>
      </c>
      <c r="G155" s="35" t="n">
        <f aca="false">G154*G126</f>
        <v>422.390329687818</v>
      </c>
    </row>
    <row r="156" customFormat="false" ht="15" hidden="false" customHeight="true" outlineLevel="0" collapsed="false">
      <c r="A156" s="13" t="s">
        <v>667</v>
      </c>
      <c r="C156" s="35" t="n">
        <f aca="false">C141+SUM($C153:C153)+SUM($C154:C154)-SUM($C155:C155)</f>
        <v>137664.717399491</v>
      </c>
      <c r="D156" s="35" t="n">
        <f aca="false">D141+SUM($C153:D153)+SUM($C154:D154)-SUM($C155:D155)</f>
        <v>25851.9546128862</v>
      </c>
      <c r="E156" s="35" t="n">
        <f aca="false">E141+SUM($C153:E153)+SUM($C154:E154)-SUM($C155:E155)</f>
        <v>129298.789443482</v>
      </c>
      <c r="F156" s="35" t="n">
        <f aca="false">F141+SUM($C153:F153)+SUM($C154:F154)-SUM($C155:F155)</f>
        <v>255868.785637354</v>
      </c>
      <c r="G156" s="35" t="n">
        <f aca="false">G141+SUM($C153:G153)+SUM($C154:G154)-SUM($C155:G155)</f>
        <v>405621.420804377</v>
      </c>
    </row>
    <row r="157" customFormat="false" ht="15" hidden="false" customHeight="true" outlineLevel="0" collapsed="false">
      <c r="A157" s="13" t="s">
        <v>668</v>
      </c>
      <c r="C157" s="35" t="n">
        <f aca="false">MIN(C136-C137+0+C153,C156)</f>
        <v>131845</v>
      </c>
      <c r="D157" s="35" t="n">
        <f aca="false">MIN(D136-D137+SUM($C153:C153)+SUM($C154:C154)-SUM($C155:C155)+D153,D156)</f>
        <v>5000</v>
      </c>
      <c r="E157" s="35" t="n">
        <f aca="false">MIN(E136-E137+SUM($C153:D153)+SUM($C154:D154)-SUM($C155:D155)+E153,E156)</f>
        <v>25851.9546128862</v>
      </c>
      <c r="F157" s="35" t="n">
        <f aca="false">MIN(F136-F137+SUM($C153:E153)+SUM($C154:E154)-SUM($C155:E155)+F153,F156)</f>
        <v>129298.789443482</v>
      </c>
      <c r="G157" s="35" t="n">
        <f aca="false">MIN(G136-G137+SUM($C153:F153)+SUM($C154:F154)-SUM($C155:F155)+G153,G156)</f>
        <v>255868.785637354</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Inputs!$B$19+Inputs!$P$104</f>
        <v>0.12</v>
      </c>
      <c r="G162" s="16" t="n">
        <f aca="false">Inputs!$B$19+Inputs!$P$104</f>
        <v>0.12</v>
      </c>
    </row>
    <row r="163" customFormat="false" ht="15" hidden="false" customHeight="true" outlineLevel="0" collapsed="false">
      <c r="A163" s="13" t="s">
        <v>673</v>
      </c>
      <c r="F163" s="35" t="n">
        <f aca="false">G53*(1-G70)</f>
        <v>57924.0624516632</v>
      </c>
      <c r="G163" s="35" t="n">
        <f aca="false">G109*(1-G126)</f>
        <v>68993.0732004249</v>
      </c>
    </row>
    <row r="164" customFormat="false" ht="15" hidden="false" customHeight="true" outlineLevel="0" collapsed="false">
      <c r="A164" s="13" t="s">
        <v>674</v>
      </c>
      <c r="F164" s="54" t="n">
        <f aca="false">Inputs!$P$102</f>
        <v>30</v>
      </c>
      <c r="G164" s="54" t="n">
        <f aca="false">Inputs!$P$102</f>
        <v>30</v>
      </c>
    </row>
    <row r="165" customFormat="false" ht="15" hidden="false" customHeight="true" outlineLevel="0" collapsed="false">
      <c r="A165" s="13" t="s">
        <v>675</v>
      </c>
      <c r="F165" s="35" t="n">
        <f aca="false">F163*F164</f>
        <v>1737721.8735499</v>
      </c>
      <c r="G165" s="35" t="n">
        <f aca="false">G163*G164</f>
        <v>2069792.19601275</v>
      </c>
    </row>
    <row r="166" customFormat="false" ht="15" hidden="false" customHeight="true" outlineLevel="0" collapsed="false">
      <c r="A166" s="13" t="s">
        <v>676</v>
      </c>
      <c r="F166" s="35" t="n">
        <f aca="false">F165*$G$21</f>
        <v>1104353.66588047</v>
      </c>
      <c r="G166" s="35" t="n">
        <f aca="false">G165*$G$21</f>
        <v>1315390.35910734</v>
      </c>
    </row>
    <row r="167" customFormat="false" ht="15" hidden="false" customHeight="true" outlineLevel="0" collapsed="false">
      <c r="A167" s="13" t="s">
        <v>677</v>
      </c>
      <c r="F167" s="35" t="n">
        <f aca="false">SUMPRODUCT(D76:G76,$D$21:$G$21)-F162*SUMPRODUCT(D81:G81,$D$21:$G$21)</f>
        <v>27512.4288303397</v>
      </c>
      <c r="G167" s="35" t="n">
        <f aca="false">SUMPRODUCT(D132:G132,$D$21:$G$21)-G162*SUMPRODUCT(D137:G137,$D$21:$G$21)</f>
        <v>39482.8229300037</v>
      </c>
    </row>
    <row r="168" customFormat="false" ht="15" hidden="false" customHeight="true" outlineLevel="0" collapsed="false">
      <c r="A168" s="13" t="s">
        <v>678</v>
      </c>
      <c r="F168" s="35" t="n">
        <f aca="false">F166+F167</f>
        <v>1131866.09471081</v>
      </c>
      <c r="G168" s="35" t="n">
        <f aca="false">G166+G167</f>
        <v>1354873.18203734</v>
      </c>
    </row>
    <row r="169" customFormat="false" ht="15" hidden="false" customHeight="true" outlineLevel="0" collapsed="false">
      <c r="A169" s="13" t="s">
        <v>679</v>
      </c>
      <c r="F169" s="35" t="n">
        <f aca="false">(G76-G74)*Inputs!$P$103*$G$21</f>
        <v>914518.851707404</v>
      </c>
      <c r="G169" s="35" t="n">
        <f aca="false">(G132-G130)*Inputs!$P$103*$G$21</f>
        <v>1089480.3769646</v>
      </c>
    </row>
    <row r="170" customFormat="false" ht="15" hidden="false" customHeight="true" outlineLevel="0" collapsed="false">
      <c r="A170" s="13" t="s">
        <v>680</v>
      </c>
      <c r="F170" s="35" t="n">
        <f aca="false">F167+F169</f>
        <v>942031.280537744</v>
      </c>
      <c r="G170" s="35" t="n">
        <f aca="false">G167+G169</f>
        <v>1128963.1998946</v>
      </c>
    </row>
    <row r="171" customFormat="false" ht="15" hidden="false" customHeight="true" outlineLevel="0" collapsed="false">
      <c r="A171" s="13" t="s">
        <v>681</v>
      </c>
      <c r="F171" s="35" t="n">
        <f aca="false">F168*Inputs!$B$21+F170*(1-Inputs!$B$21)</f>
        <v>1036948.68762428</v>
      </c>
      <c r="G171" s="35" t="n">
        <f aca="false">G168*Inputs!$B$21+G170*(1-Inputs!$B$21)</f>
        <v>1241918.19096597</v>
      </c>
    </row>
    <row r="172" customFormat="false" ht="15" hidden="false" customHeight="true" outlineLevel="0" collapsed="false">
      <c r="A172" s="13" t="s">
        <v>682</v>
      </c>
      <c r="F172" s="16" t="n">
        <f aca="false">IFERROR(F166/F168,0)</f>
        <v>0.97569285893543</v>
      </c>
      <c r="G172" s="16" t="n">
        <f aca="false">IFERROR(G166/G168,0)</f>
        <v>0.970858657877756</v>
      </c>
    </row>
    <row r="173" customFormat="false" ht="15" hidden="false" customHeight="true" outlineLevel="0" collapsed="false">
      <c r="A173" s="13" t="s">
        <v>683</v>
      </c>
      <c r="F173" s="16" t="n">
        <f aca="false">IFERROR(F169/F170,0)</f>
        <v>0.970794569778368</v>
      </c>
      <c r="G173" s="16" t="n">
        <f aca="false">IFERROR(G169/G170,0)</f>
        <v>0.965027360560832</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1174613.40502377</v>
      </c>
      <c r="G176" s="34" t="n">
        <f aca="false">G171+G174+G175</f>
        <v>1379582.90836546</v>
      </c>
    </row>
    <row r="177" customFormat="false" ht="15" hidden="false" customHeight="true" outlineLevel="0" collapsed="false">
      <c r="A177" s="13" t="s">
        <v>687</v>
      </c>
      <c r="F177" s="35" t="n">
        <f aca="false">IF(F182="OK",F176,"unresolved")</f>
        <v>1174613.40502377</v>
      </c>
      <c r="G177" s="35" t="n">
        <f aca="false">IF(G182="OK",G176,"unresolved")</f>
        <v>1379582.90836546</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65.4852798923638</v>
      </c>
      <c r="G179" s="25" t="n">
        <f aca="false">IF(G182="OK",G176/G178,"n/a")</f>
        <v>76.912431360517</v>
      </c>
    </row>
    <row r="180" customFormat="false" ht="15" hidden="false" customHeight="true" outlineLevel="0" collapsed="false">
      <c r="A180" s="13" t="s">
        <v>689</v>
      </c>
      <c r="F180" s="35" t="n">
        <f aca="false">G90</f>
        <v>67335.2826005094</v>
      </c>
      <c r="G180" s="35" t="n">
        <f aca="false">G146</f>
        <v>67335.2826005094</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Raise needed by 2030</v>
      </c>
      <c r="G183" s="29" t="str">
        <f aca="false">IF(G182&lt;&gt;"OK",G182,IF(G180&gt;0,"Raise needed by 2030",IF(ISNUMBER(G181),"Cash-negative in 2030; runway "&amp;TEXT(G181,"0.0")&amp;" yrs","No raise needed")))</f>
        <v>Raise needed by 2030</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65.3756561521635</v>
      </c>
      <c r="G184" s="25" t="n">
        <f aca="false">IF(NOT(ISNUMBER(G179)),"unresolved",IF(G180=0,G179,(G176+G180/(1+G162)^IF(ISNUMBER(G149),MAX(0,G149-2027),0))/(G178+(G180/(1-Inputs!$B$31))/(G179*(1+G162)^IF(ISNUMBER(G149),MAX(0,G149-2027),0)*(1-0)))))</f>
        <v>76.8018911861729</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64.7381675732522</v>
      </c>
      <c r="G185" s="25" t="n">
        <f aca="false">IF(NOT(ISNUMBER(G179)),"unresolved",IF(G180=0,G179,(G176+G180/(1+G162)^IF(ISNUMBER(G149),MAX(0,G149-2027),0))/(G178+(G180/(1-Inputs!$B$31))/(G179*(1+G162)^IF(ISNUMBER(G149),MAX(0,G149-2027),0)*(1-Inputs!$B$30)))))</f>
        <v>76.1580327351642</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63.848739898987</v>
      </c>
      <c r="G186" s="25" t="n">
        <f aca="false">IF(NOT(ISNUMBER(G179)),"unresolved",IF(G180=0,G179,(G176+G180/(1+G162)^IF(ISNUMBER(G149),MAX(0,G149-2027),0))/(G178+(G180/(1-Inputs!$B$31))/(G179*(1+G162)^IF(ISNUMBER(G149),MAX(0,G149-2027),0)*(1-0.3)))))</f>
        <v>75.2567400469941</v>
      </c>
    </row>
    <row r="187" customFormat="false" ht="15" hidden="false" customHeight="true" outlineLevel="0" collapsed="false">
      <c r="A187" s="13" t="s">
        <v>696</v>
      </c>
      <c r="F187" s="25" t="n">
        <f aca="false">F185</f>
        <v>64.7381675732522</v>
      </c>
      <c r="G187" s="25" t="n">
        <f aca="false">G185</f>
        <v>76.1580327351642</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64.7381675732522</v>
      </c>
      <c r="G189" s="12" t="n">
        <f aca="false">IF(ISNUMBER(G187),G187/(1+Inputs!$B$25)^G188,"unresolved")</f>
        <v>76.1580327351642</v>
      </c>
    </row>
    <row r="190" customFormat="false" ht="15" hidden="false" customHeight="true" outlineLevel="0" collapsed="false">
      <c r="A190" s="13" t="s">
        <v>699</v>
      </c>
      <c r="F190" s="25" t="str">
        <f aca="false">IF(F180=0,F189,"unresolved")</f>
        <v>unresolved</v>
      </c>
      <c r="G190" s="25" t="str">
        <f aca="false">IF(G180=0,G189,"unresolved")</f>
        <v>unresolved</v>
      </c>
    </row>
    <row r="191" customFormat="false" ht="15" hidden="false" customHeight="true" outlineLevel="0" collapsed="false">
      <c r="A191" s="13" t="s">
        <v>700</v>
      </c>
      <c r="F191" s="35" t="n">
        <f aca="false">IF(ISNUMBER(F179),F176+F180/(1+F162)^IF(ISNUMBER(G93),MAX(0,G93-2027),0),"unresolved")</f>
        <v>1241948.68762428</v>
      </c>
      <c r="G191" s="35" t="n">
        <f aca="false">IF(ISNUMBER(G179),G176+G180/(1+G162)^IF(ISNUMBER(G149),MAX(0,G149-2027),0),"unresolved")</f>
        <v>1446918.19096597</v>
      </c>
    </row>
    <row r="192" customFormat="false" ht="15" hidden="false" customHeight="true" outlineLevel="0" collapsed="false">
      <c r="A192" s="13" t="s">
        <v>701</v>
      </c>
      <c r="F192" s="28" t="n">
        <f aca="false">IFERROR(F191/D49,"n/a")</f>
        <v>11.4482198999325</v>
      </c>
      <c r="G192" s="28" t="n">
        <f aca="false">IFERROR(G191/D105,"n/a")</f>
        <v>13.101786215493</v>
      </c>
    </row>
    <row r="193" customFormat="false" ht="15" hidden="false" customHeight="true" outlineLevel="0" collapsed="false">
      <c r="A193" s="13" t="s">
        <v>702</v>
      </c>
      <c r="F193" s="25" t="n">
        <f aca="false">(F168+F174)/F178</f>
        <v>70.7769724127581</v>
      </c>
      <c r="G193" s="25" t="n">
        <f aca="false">(G168+G174)/G178</f>
        <v>83.2097281340016</v>
      </c>
    </row>
    <row r="194" customFormat="false" ht="15" hidden="false" customHeight="true" outlineLevel="0" collapsed="false">
      <c r="A194" s="13" t="s">
        <v>703</v>
      </c>
      <c r="F194" s="25" t="n">
        <f aca="false">(F170+F174)/F178</f>
        <v>60.1935873719696</v>
      </c>
      <c r="G194" s="25" t="n">
        <f aca="false">(G170+G174)/G178</f>
        <v>70.6151345870323</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720</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Historicals!F35+(Inputs!$B$5+Inputs!$Q$75)</f>
        <v>54242</v>
      </c>
      <c r="D5" s="35" t="n">
        <f aca="false">C5*(1+Inputs!$Q$77)</f>
        <v>108484</v>
      </c>
      <c r="E5" s="35" t="n">
        <f aca="false">D5*(1+Inputs!$Q$78)</f>
        <v>168150.2</v>
      </c>
      <c r="F5" s="35" t="n">
        <f aca="false">E5*(1+Inputs!$Q$79)</f>
        <v>227002.77</v>
      </c>
      <c r="G5" s="35" t="n">
        <f aca="false">F5*(1+Inputs!$Q$80)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Historicals!F51+(Inputs!$B$5+Inputs!$Q$75)*Historicals!F51/Historicals!F35</f>
        <v>10731.163207663</v>
      </c>
      <c r="D7" s="35" t="n">
        <f aca="false">D5*Inputs!$Q$76</f>
        <v>21696.8</v>
      </c>
      <c r="E7" s="35" t="n">
        <f aca="false">E5*Inputs!$Q$76</f>
        <v>33630.04</v>
      </c>
      <c r="F7" s="35" t="n">
        <f aca="false">F5*Inputs!$Q$76</f>
        <v>45400.554</v>
      </c>
      <c r="G7" s="35" t="n">
        <f aca="false">G5*Inputs!$Q$76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Historicals!F36+Historicals!H6+Inputs!$Q$75*Inputs!$Q$81</f>
        <v>28258</v>
      </c>
      <c r="D9" s="35" t="n">
        <f aca="false">(C9-Inputs!$Q$113)*(1+Inputs!$Q$82)</f>
        <v>48038.6</v>
      </c>
      <c r="E9" s="35" t="n">
        <f aca="false">D9*(1+Inputs!$Q$83)</f>
        <v>69655.97</v>
      </c>
      <c r="F9" s="35" t="n">
        <f aca="false">E9*(1+Inputs!$Q$84)</f>
        <v>90552.761</v>
      </c>
      <c r="G9" s="35" t="n">
        <f aca="false">F9*(1+Inputs!$Q$85)</f>
        <v>108663.3132</v>
      </c>
    </row>
    <row r="10" customFormat="false" ht="15" hidden="false" customHeight="true" outlineLevel="0" collapsed="false">
      <c r="A10" s="13" t="s">
        <v>219</v>
      </c>
      <c r="B10" s="41" t="n">
        <f aca="false">Historicals!D36</f>
        <v>7326</v>
      </c>
      <c r="C10" s="35" t="n">
        <f aca="false">Historicals!F36+Historicals!H6+MAX(Inputs!$Q$75*Inputs!$Q$81,Inputs!$Q$108*C22)</f>
        <v>30039</v>
      </c>
      <c r="D10" s="35" t="n">
        <f aca="false">MAX(D9,Inputs!$Q$108*D22)</f>
        <v>97550</v>
      </c>
      <c r="E10" s="35" t="n">
        <f aca="false">MAX(E9,Inputs!$Q$108*E22)</f>
        <v>107338.25</v>
      </c>
      <c r="F10" s="35" t="n">
        <f aca="false">MAX(F9,Inputs!$Q$108*F22)</f>
        <v>117031.375</v>
      </c>
      <c r="G10" s="35" t="n">
        <f aca="false">MAX(G9,Inputs!$Q$108*G22)</f>
        <v>114349.375</v>
      </c>
    </row>
    <row r="11" customFormat="false" ht="15" hidden="false" customHeight="true" outlineLevel="0" collapsed="false">
      <c r="A11" s="13" t="s">
        <v>220</v>
      </c>
      <c r="B11" s="41" t="n">
        <f aca="false">Historicals!D37</f>
        <v>1839</v>
      </c>
      <c r="C11" s="35" t="n">
        <f aca="false">Historicals!F37+Historicals!H7+Inputs!$Q$75*Historicals!H24</f>
        <v>6982.0728945506</v>
      </c>
      <c r="D11" s="35" t="n">
        <f aca="false">D5*Inputs!$Q$86</f>
        <v>15187.76</v>
      </c>
      <c r="E11" s="35" t="n">
        <f aca="false">E5*Inputs!$Q$87</f>
        <v>21859.526</v>
      </c>
      <c r="F11" s="35" t="n">
        <f aca="false">F5*Inputs!$Q$88</f>
        <v>27240.3324</v>
      </c>
      <c r="G11" s="35" t="n">
        <f aca="false">G5*Inputs!$Q$89</f>
        <v>31212.880875</v>
      </c>
    </row>
    <row r="12" customFormat="false" ht="15" hidden="false" customHeight="true" outlineLevel="0" collapsed="false">
      <c r="A12" s="13" t="s">
        <v>584</v>
      </c>
      <c r="B12" s="41" t="n">
        <f aca="false">Historicals!D49</f>
        <v>1158</v>
      </c>
      <c r="C12" s="35" t="n">
        <f aca="false">Historicals!F49+Historicals!H19+Inputs!$Q$75*Historicals!H29</f>
        <v>4580.19462137297</v>
      </c>
      <c r="D12" s="35" t="n">
        <f aca="false">D5*Inputs!$Q$90</f>
        <v>9763.56</v>
      </c>
      <c r="E12" s="35" t="n">
        <f aca="false">E5*Inputs!$Q$91</f>
        <v>13452.016</v>
      </c>
      <c r="F12" s="35" t="n">
        <f aca="false">F5*Inputs!$Q$92</f>
        <v>15890.1939</v>
      </c>
      <c r="G12" s="35" t="n">
        <f aca="false">G5*Inputs!$Q$93</f>
        <v>17025.20775</v>
      </c>
    </row>
    <row r="13" customFormat="false" ht="15" hidden="false" customHeight="true" outlineLevel="0" collapsed="false">
      <c r="A13" s="13" t="s">
        <v>585</v>
      </c>
      <c r="B13" s="41" t="n">
        <f aca="false">Historicals!D39</f>
        <v>568</v>
      </c>
      <c r="C13" s="35" t="n">
        <f aca="false">Historicals!F39+Historicals!H9+Inputs!$Q$75*Historicals!H25</f>
        <v>8453.09766454352</v>
      </c>
      <c r="D13" s="35" t="n">
        <f aca="false">D5*Inputs!$Q$94</f>
        <v>18442.28</v>
      </c>
      <c r="E13" s="35" t="n">
        <f aca="false">E5*Inputs!$Q$95</f>
        <v>26904.032</v>
      </c>
      <c r="F13" s="35" t="n">
        <f aca="false">F5*Inputs!$Q$96</f>
        <v>34050.4155</v>
      </c>
      <c r="G13" s="35" t="n">
        <f aca="false">G5*Inputs!$Q$97</f>
        <v>42563.019375</v>
      </c>
    </row>
    <row r="14" customFormat="false" ht="15" hidden="false" customHeight="true" outlineLevel="0" collapsed="false">
      <c r="A14" s="13" t="s">
        <v>586</v>
      </c>
      <c r="B14" s="41" t="n">
        <f aca="false">Historicals!D40</f>
        <v>1412</v>
      </c>
      <c r="C14" s="35" t="n">
        <f aca="false">Historicals!F40+Historicals!H10-Inputs!$B$37+Inputs!$Q$75*(Historicals!H10-Inputs!$B$37)/Historicals!H5</f>
        <v>5358.27742392074</v>
      </c>
      <c r="D14" s="35" t="n">
        <f aca="false">D5*Inputs!$Q$98</f>
        <v>8678.72</v>
      </c>
      <c r="E14" s="35" t="n">
        <f aca="false">E5*Inputs!$Q$99</f>
        <v>11770.514</v>
      </c>
      <c r="F14" s="35" t="n">
        <f aca="false">F5*Inputs!$Q$100</f>
        <v>13620.1662</v>
      </c>
      <c r="G14" s="35" t="n">
        <f aca="false">G5*Inputs!$Q$101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52792.4479830149</v>
      </c>
      <c r="D16" s="36" t="n">
        <f aca="false">D10+D11+D13+D14+D15</f>
        <v>139858.76</v>
      </c>
      <c r="E16" s="36" t="n">
        <f aca="false">E10+E11+E13+E14+E15</f>
        <v>167872.322</v>
      </c>
      <c r="F16" s="36" t="n">
        <f aca="false">F10+F11+F13+F14+F15</f>
        <v>191942.2891</v>
      </c>
      <c r="G16" s="36" t="n">
        <f aca="false">G10+G11+G13+G14+G15</f>
        <v>205150.483</v>
      </c>
    </row>
    <row r="17" customFormat="false" ht="15" hidden="false" customHeight="true" outlineLevel="0" collapsed="false">
      <c r="A17" s="10" t="s">
        <v>588</v>
      </c>
      <c r="B17" s="34" t="n">
        <f aca="false">B5-B16</f>
        <v>-8060</v>
      </c>
      <c r="C17" s="34" t="n">
        <f aca="false">C5-C16</f>
        <v>1449.55201698514</v>
      </c>
      <c r="D17" s="34" t="n">
        <f aca="false">D5-D16</f>
        <v>-31374.76</v>
      </c>
      <c r="E17" s="34" t="n">
        <f aca="false">E5-E16</f>
        <v>277.878000000026</v>
      </c>
      <c r="F17" s="34" t="n">
        <f aca="false">F5-F16</f>
        <v>35060.4809</v>
      </c>
      <c r="G17" s="34" t="n">
        <f aca="false">G5-G16</f>
        <v>78602.9795</v>
      </c>
    </row>
    <row r="18" customFormat="false" ht="15" hidden="false" customHeight="true" outlineLevel="0" collapsed="false">
      <c r="A18" s="13" t="s">
        <v>589</v>
      </c>
      <c r="B18" s="16" t="n">
        <f aca="false">IFERROR(B17/B5,0)</f>
        <v>-1.75790621592148</v>
      </c>
      <c r="C18" s="16" t="n">
        <f aca="false">IFERROR(C17/C5,0)</f>
        <v>0.0267237936835873</v>
      </c>
      <c r="D18" s="16" t="n">
        <f aca="false">IFERROR(D17/D5,0)</f>
        <v>-0.289210943549279</v>
      </c>
      <c r="E18" s="16" t="n">
        <f aca="false">IFERROR(E17/E5,0)</f>
        <v>0.00165255824851844</v>
      </c>
      <c r="F18" s="16" t="n">
        <f aca="false">IFERROR(F17/F5,0)</f>
        <v>0.154449573016224</v>
      </c>
      <c r="G18" s="16" t="n">
        <f aca="false">IFERROR(G17/G5,0)</f>
        <v>0.277011525454073</v>
      </c>
    </row>
    <row r="19" customFormat="false" ht="15" hidden="false" customHeight="true" outlineLevel="0" collapsed="false">
      <c r="A19" s="13" t="s">
        <v>590</v>
      </c>
      <c r="B19" s="16" t="n">
        <f aca="false">IFERROR(B10/B5,0)</f>
        <v>1.59781897491821</v>
      </c>
      <c r="C19" s="16" t="n">
        <f aca="false">IFERROR(C10/C5,0)</f>
        <v>0.553795951476716</v>
      </c>
      <c r="D19" s="16" t="n">
        <f aca="false">IFERROR(D10/D5,0)</f>
        <v>0.899210943549279</v>
      </c>
      <c r="E19" s="16" t="n">
        <f aca="false">IFERROR(E10/E5,0)</f>
        <v>0.638347441751482</v>
      </c>
      <c r="F19" s="16" t="n">
        <f aca="false">IFERROR(F10/F5,0)</f>
        <v>0.515550426983776</v>
      </c>
      <c r="G19" s="16" t="n">
        <f aca="false">IFERROR(G10/G5,0)</f>
        <v>0.402988474545927</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1/(1+Inputs!$B$19+Inputs!$Q$104)^1</f>
        <v>0.892857142857143</v>
      </c>
      <c r="E21" s="53" t="n">
        <f aca="false">1/(1+Inputs!$B$19+Inputs!$Q$104)^2</f>
        <v>0.79719387755102</v>
      </c>
      <c r="F21" s="53" t="n">
        <f aca="false">1/(1+Inputs!$B$19+Inputs!$Q$104)^3</f>
        <v>0.711780247813411</v>
      </c>
      <c r="G21" s="53" t="n">
        <f aca="false">1/(1+Inputs!$B$19+Inputs!$Q$104)^4</f>
        <v>0.635518078404831</v>
      </c>
    </row>
    <row r="22" customFormat="false" ht="15" hidden="false" customHeight="true" outlineLevel="0" collapsed="false">
      <c r="A22" s="13" t="s">
        <v>593</v>
      </c>
      <c r="C22" s="35" t="n">
        <f aca="false">Inputs!B$69+Inputs!$B$47*Inputs!$B$46</f>
        <v>11231</v>
      </c>
      <c r="D22" s="35" t="n">
        <f aca="false">Inputs!C$69+Inputs!$B$47*(1-Inputs!$B$46)+Inputs!$B$70*Inputs!$Q$109</f>
        <v>97550</v>
      </c>
      <c r="E22" s="35" t="n">
        <f aca="false">Inputs!D$69+Inputs!$B$70*Inputs!$Q$110</f>
        <v>107338.25</v>
      </c>
      <c r="F22" s="35" t="n">
        <f aca="false">Inputs!E$69+Inputs!$B$70*Inputs!$Q$111</f>
        <v>117031.375</v>
      </c>
      <c r="G22" s="35" t="n">
        <f aca="false">Inputs!F$69+Inputs!$B$70*Inputs!$Q$112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Inputs!$Q$107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30039</v>
      </c>
      <c r="D44" s="35" t="n">
        <f aca="false">D10*Inputs!$B$39</f>
        <v>97550</v>
      </c>
      <c r="E44" s="35" t="n">
        <f aca="false">E10*Inputs!$B$39</f>
        <v>107338.25</v>
      </c>
      <c r="F44" s="35" t="n">
        <f aca="false">F10*Inputs!$B$39</f>
        <v>117031.375</v>
      </c>
      <c r="G44" s="35" t="n">
        <f aca="false">G10*Inputs!$B$39</f>
        <v>114349.375</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1449.55201698514</v>
      </c>
      <c r="D50" s="35" t="n">
        <f aca="false">D17</f>
        <v>-31374.76</v>
      </c>
      <c r="E50" s="35" t="n">
        <f aca="false">E17</f>
        <v>277.878000000026</v>
      </c>
      <c r="F50" s="35" t="n">
        <f aca="false">F17</f>
        <v>35060.4809</v>
      </c>
      <c r="G50" s="35" t="n">
        <f aca="false">G17</f>
        <v>78602.9795</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1449.55201698514</v>
      </c>
      <c r="D53" s="36" t="n">
        <f aca="false">D50-D52</f>
        <v>-32242.632</v>
      </c>
      <c r="E53" s="36" t="n">
        <f aca="false">E50-E52</f>
        <v>-2271.49599999997</v>
      </c>
      <c r="F53" s="36" t="n">
        <f aca="false">F50-F52</f>
        <v>30241.0792</v>
      </c>
      <c r="G53" s="36" t="n">
        <f aca="false">G50-G52</f>
        <v>70946.043175</v>
      </c>
    </row>
    <row r="54" customFormat="false" ht="15" hidden="false" customHeight="true" outlineLevel="0" collapsed="false">
      <c r="A54" s="13" t="s">
        <v>620</v>
      </c>
      <c r="C54" s="16" t="n">
        <f aca="false">IFERROR(C53/C49,0)</f>
        <v>0.0267237936835873</v>
      </c>
      <c r="D54" s="16" t="n">
        <f aca="false">IFERROR(D53/D49,0)</f>
        <v>-0.297210943549279</v>
      </c>
      <c r="E54" s="16" t="n">
        <f aca="false">IFERROR(E53/E49,0)</f>
        <v>-0.0135087320740622</v>
      </c>
      <c r="F54" s="16" t="n">
        <f aca="false">IFERROR(F53/F49,0)</f>
        <v>0.13321898759209</v>
      </c>
      <c r="G54" s="16" t="n">
        <f aca="false">IFERROR(G53/G49,0)</f>
        <v>0.250027057114766</v>
      </c>
    </row>
    <row r="55" customFormat="false" ht="15" hidden="false" customHeight="true" outlineLevel="0" collapsed="false">
      <c r="A55" s="13" t="s">
        <v>621</v>
      </c>
      <c r="C55" s="35" t="n">
        <f aca="false">Historicals!F43+Historicals!H13+C80*Inputs!$B$20/4</f>
        <v>3183.03125</v>
      </c>
      <c r="D55" s="35" t="n">
        <f aca="false">MAX(0,D80-D81)*Inputs!$B$20</f>
        <v>3400.80567882726</v>
      </c>
      <c r="E55" s="35" t="n">
        <f aca="false">MAX(0,E80-E81)*Inputs!$B$20</f>
        <v>2837.06182079795</v>
      </c>
      <c r="F55" s="35" t="n">
        <f aca="false">MAX(0,F80-F81)*Inputs!$B$20</f>
        <v>3040.45412220606</v>
      </c>
      <c r="G55" s="35" t="n">
        <f aca="false">MAX(0,G80-G81)*Inputs!$B$20</f>
        <v>4071.53327277289</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4632.58326698514</v>
      </c>
      <c r="D58" s="35" t="n">
        <f aca="false">D53+D55+D56-D57</f>
        <v>-28841.8263211727</v>
      </c>
      <c r="E58" s="35" t="n">
        <f aca="false">E53+E55+E56-E57</f>
        <v>565.565820797972</v>
      </c>
      <c r="F58" s="35" t="n">
        <f aca="false">F53+F55+F56-F57</f>
        <v>33281.5333222061</v>
      </c>
      <c r="G58" s="35" t="n">
        <f aca="false">G53+G55+G56-G57</f>
        <v>75017.5764477729</v>
      </c>
    </row>
    <row r="59" customFormat="false" ht="15" hidden="false" customHeight="true" outlineLevel="0" collapsed="false">
      <c r="A59" s="13" t="s">
        <v>625</v>
      </c>
      <c r="C59" s="35" t="n">
        <f aca="false">C58*Inputs!$B$58</f>
        <v>3335.4599522293</v>
      </c>
      <c r="D59" s="35" t="n">
        <f aca="false">D58*Inputs!$B$58</f>
        <v>-20766.1149512444</v>
      </c>
      <c r="E59" s="35" t="n">
        <f aca="false">E58*Inputs!$B$58</f>
        <v>407.20739097454</v>
      </c>
      <c r="F59" s="35" t="n">
        <f aca="false">F58*Inputs!$B$58</f>
        <v>23962.7039919884</v>
      </c>
      <c r="G59" s="35" t="n">
        <f aca="false">G58*Inputs!$B$58</f>
        <v>54012.6550423965</v>
      </c>
    </row>
    <row r="60" customFormat="false" ht="15" hidden="false" customHeight="true" outlineLevel="0" collapsed="false">
      <c r="A60" s="13" t="s">
        <v>626</v>
      </c>
      <c r="C60" s="35" t="n">
        <f aca="false">Inputs!$B$60</f>
        <v>4200</v>
      </c>
      <c r="D60" s="35" t="n">
        <f aca="false">C62</f>
        <v>4200</v>
      </c>
      <c r="E60" s="35" t="n">
        <f aca="false">D62</f>
        <v>24966.1149512444</v>
      </c>
      <c r="F60" s="35" t="n">
        <f aca="false">E62</f>
        <v>24558.9075602698</v>
      </c>
      <c r="G60" s="35" t="n">
        <f aca="false">F62</f>
        <v>596.203568281475</v>
      </c>
    </row>
    <row r="61" customFormat="false" ht="15" hidden="false" customHeight="true" outlineLevel="0" collapsed="false">
      <c r="A61" s="13" t="s">
        <v>627</v>
      </c>
      <c r="C61" s="35" t="n">
        <f aca="false">IF(AND(2026=2026,Inputs!$B$61=1),0,MIN(C60,MAX(0,C59)))</f>
        <v>0</v>
      </c>
      <c r="D61" s="35" t="n">
        <f aca="false">IF(AND(2027=2026,Inputs!$B$61=1),0,MIN(D60,MAX(0,D59)))</f>
        <v>0</v>
      </c>
      <c r="E61" s="35" t="n">
        <f aca="false">IF(AND(2028=2026,Inputs!$B$61=1),0,MIN(E60,MAX(0,E59)))</f>
        <v>407.20739097454</v>
      </c>
      <c r="F61" s="35" t="n">
        <f aca="false">IF(AND(2029=2026,Inputs!$B$61=1),0,MIN(F60,MAX(0,F59)))</f>
        <v>23962.7039919884</v>
      </c>
      <c r="G61" s="35" t="n">
        <f aca="false">IF(AND(2030=2026,Inputs!$B$61=1),0,MIN(G60,MAX(0,G59)))</f>
        <v>596.203568281475</v>
      </c>
    </row>
    <row r="62" customFormat="false" ht="15" hidden="false" customHeight="true" outlineLevel="0" collapsed="false">
      <c r="A62" s="13" t="s">
        <v>628</v>
      </c>
      <c r="C62" s="35" t="n">
        <f aca="false">C60-C61+MAX(0,-C59)</f>
        <v>4200</v>
      </c>
      <c r="D62" s="35" t="n">
        <f aca="false">D60-D61+MAX(0,-D59)</f>
        <v>24966.1149512444</v>
      </c>
      <c r="E62" s="35" t="n">
        <f aca="false">E60-E61+MAX(0,-E59)</f>
        <v>24558.9075602698</v>
      </c>
      <c r="F62" s="35" t="n">
        <f aca="false">F60-F61+MAX(0,-F59)</f>
        <v>596.203568281475</v>
      </c>
      <c r="G62" s="35" t="n">
        <f aca="false">G60-G61+MAX(0,-G59)</f>
        <v>0</v>
      </c>
    </row>
    <row r="63" customFormat="false" ht="15" hidden="false" customHeight="true" outlineLevel="0" collapsed="false">
      <c r="A63" s="13" t="s">
        <v>629</v>
      </c>
      <c r="C63" s="35" t="n">
        <f aca="false">MAX(0,C59-C61)*Inputs!$B$59</f>
        <v>200.127597133758</v>
      </c>
      <c r="D63" s="35" t="n">
        <f aca="false">MAX(0,D59-D61)*Inputs!$B$59</f>
        <v>0</v>
      </c>
      <c r="E63" s="35" t="n">
        <f aca="false">MAX(0,E59-E61)*Inputs!$B$59</f>
        <v>0</v>
      </c>
      <c r="F63" s="35" t="n">
        <f aca="false">MAX(0,F59-F61)*Inputs!$B$59</f>
        <v>0</v>
      </c>
      <c r="G63" s="35" t="n">
        <f aca="false">MAX(0,G59-G61)*Inputs!$B$59</f>
        <v>3204.9870884469</v>
      </c>
    </row>
    <row r="64" customFormat="false" ht="15" hidden="false" customHeight="true" outlineLevel="0" collapsed="false">
      <c r="A64" s="13" t="s">
        <v>630</v>
      </c>
      <c r="C64" s="35" t="n">
        <f aca="false">C58-C63</f>
        <v>4432.45566985139</v>
      </c>
      <c r="D64" s="35" t="n">
        <f aca="false">D58-D63</f>
        <v>-28841.8263211727</v>
      </c>
      <c r="E64" s="35" t="n">
        <f aca="false">E58-E63</f>
        <v>565.565820797972</v>
      </c>
      <c r="F64" s="35" t="n">
        <f aca="false">F58-F63</f>
        <v>33281.5333222061</v>
      </c>
      <c r="G64" s="35" t="n">
        <f aca="false">G58-G63</f>
        <v>71812.589359326</v>
      </c>
    </row>
    <row r="65" customFormat="false" ht="15" hidden="false" customHeight="true" outlineLevel="0" collapsed="false">
      <c r="A65" s="13" t="s">
        <v>631</v>
      </c>
      <c r="C65" s="35" t="n">
        <f aca="false">Inputs!$B$56</f>
        <v>8200</v>
      </c>
      <c r="D65" s="35" t="n">
        <f aca="false">C67</f>
        <v>4654.03546411889</v>
      </c>
      <c r="E65" s="35" t="n">
        <f aca="false">D67</f>
        <v>33495.8617852916</v>
      </c>
      <c r="F65" s="35" t="n">
        <f aca="false">E67</f>
        <v>33043.4091286533</v>
      </c>
      <c r="G65" s="35" t="n">
        <f aca="false">F67</f>
        <v>6418.18247088842</v>
      </c>
    </row>
    <row r="66" customFormat="false" ht="15" hidden="false" customHeight="true" outlineLevel="0" collapsed="false">
      <c r="A66" s="13" t="s">
        <v>632</v>
      </c>
      <c r="C66" s="35" t="n">
        <f aca="false">MIN(C65,Inputs!$B$57*MAX(0,C64))</f>
        <v>3545.96453588111</v>
      </c>
      <c r="D66" s="35" t="n">
        <f aca="false">MIN(D65,Inputs!$B$57*MAX(0,D64))</f>
        <v>0</v>
      </c>
      <c r="E66" s="35" t="n">
        <f aca="false">MIN(E65,Inputs!$B$57*MAX(0,E64))</f>
        <v>452.452656638378</v>
      </c>
      <c r="F66" s="35" t="n">
        <f aca="false">MIN(F65,Inputs!$B$57*MAX(0,F64))</f>
        <v>26625.2266577648</v>
      </c>
      <c r="G66" s="35" t="n">
        <f aca="false">MIN(G65,Inputs!$B$57*MAX(0,G64))</f>
        <v>6418.18247088842</v>
      </c>
    </row>
    <row r="67" customFormat="false" ht="15" hidden="false" customHeight="true" outlineLevel="0" collapsed="false">
      <c r="A67" s="13" t="s">
        <v>633</v>
      </c>
      <c r="C67" s="35" t="n">
        <f aca="false">C65-C66+MAX(0,-C64)</f>
        <v>4654.03546411889</v>
      </c>
      <c r="D67" s="35" t="n">
        <f aca="false">D65-D66+MAX(0,-D64)</f>
        <v>33495.8617852916</v>
      </c>
      <c r="E67" s="35" t="n">
        <f aca="false">E65-E66+MAX(0,-E64)</f>
        <v>33043.4091286533</v>
      </c>
      <c r="F67" s="35" t="n">
        <f aca="false">F65-F66+MAX(0,-F64)</f>
        <v>6418.18247088842</v>
      </c>
      <c r="G67" s="35" t="n">
        <f aca="false">G65-G66+MAX(0,-G64)</f>
        <v>0</v>
      </c>
    </row>
    <row r="68" customFormat="false" ht="15" hidden="false" customHeight="true" outlineLevel="0" collapsed="false">
      <c r="A68" s="13" t="s">
        <v>634</v>
      </c>
      <c r="C68" s="35" t="n">
        <f aca="false">MAX(0,C64-C66)*Inputs!$B$55</f>
        <v>186.163138133758</v>
      </c>
      <c r="D68" s="35" t="n">
        <f aca="false">MAX(0,D64-D66)*Inputs!$B$55</f>
        <v>0</v>
      </c>
      <c r="E68" s="35" t="n">
        <f aca="false">MAX(0,E64-E66)*Inputs!$B$55</f>
        <v>23.7537644735148</v>
      </c>
      <c r="F68" s="35" t="n">
        <f aca="false">MAX(0,F64-F66)*Inputs!$B$55</f>
        <v>1397.82439953265</v>
      </c>
      <c r="G68" s="35" t="n">
        <f aca="false">MAX(0,G64-G66)*Inputs!$B$55</f>
        <v>13732.8254465719</v>
      </c>
    </row>
    <row r="69" customFormat="false" ht="15" hidden="false" customHeight="true" outlineLevel="0" collapsed="false">
      <c r="A69" s="10" t="s">
        <v>635</v>
      </c>
      <c r="C69" s="36" t="n">
        <f aca="false">IF(Inputs!$Q$105=0,MAX(0,C53+C55)*Inputs!B$66,IF(Inputs!$Q$105=2,MAX(0,C58)*Inputs!$Q$106,C63+C68))</f>
        <v>386.290735267516</v>
      </c>
      <c r="D69" s="36" t="n">
        <f aca="false">IF(Inputs!$Q$105=0,MAX(0,D53+D55)*Inputs!C$66,IF(Inputs!$Q$105=2,MAX(0,D58)*Inputs!$Q$106,D63+D68))</f>
        <v>0</v>
      </c>
      <c r="E69" s="36" t="n">
        <f aca="false">IF(Inputs!$Q$105=0,MAX(0,E53+E55)*Inputs!D$66,IF(Inputs!$Q$105=2,MAX(0,E58)*Inputs!$Q$106,E63+E68))</f>
        <v>23.7537644735148</v>
      </c>
      <c r="F69" s="36" t="n">
        <f aca="false">IF(Inputs!$Q$105=0,MAX(0,F53+F55)*Inputs!E$66,IF(Inputs!$Q$105=2,MAX(0,F58)*Inputs!$Q$106,F63+F68))</f>
        <v>1397.82439953265</v>
      </c>
      <c r="G69" s="36" t="n">
        <f aca="false">IF(Inputs!$Q$105=0,MAX(0,G53+G55)*Inputs!F$66,IF(Inputs!$Q$105=2,MAX(0,G58)*Inputs!$Q$106,G63+G68))</f>
        <v>16937.8125350188</v>
      </c>
    </row>
    <row r="70" customFormat="false" ht="15" hidden="false" customHeight="true" outlineLevel="0" collapsed="false">
      <c r="A70" s="13" t="s">
        <v>636</v>
      </c>
      <c r="C70" s="16" t="n">
        <f aca="false">IF(C58&gt;0,MIN(1,C69/C58),0)</f>
        <v>0.0833856</v>
      </c>
      <c r="D70" s="16" t="n">
        <f aca="false">IF(D58&gt;0,MIN(1,D69/D58),0)</f>
        <v>0</v>
      </c>
      <c r="E70" s="16" t="n">
        <f aca="false">IF(E58&gt;0,MIN(1,E69/E58),0)</f>
        <v>0.042</v>
      </c>
      <c r="F70" s="16" t="n">
        <f aca="false">IF(F58&gt;0,MIN(1,F69/F58),0)</f>
        <v>0.042</v>
      </c>
      <c r="G70" s="16" t="n">
        <f aca="false">IF(G58&gt;0,MIN(1,G69/G58),0)</f>
        <v>0.225784587253507</v>
      </c>
    </row>
    <row r="71" customFormat="false" ht="15" hidden="false" customHeight="true" outlineLevel="0" collapsed="false">
      <c r="A71" s="13" t="s">
        <v>637</v>
      </c>
      <c r="C71" s="35" t="n">
        <f aca="false">C53+C55-C69</f>
        <v>4246.29253171763</v>
      </c>
      <c r="D71" s="35" t="n">
        <f aca="false">D53+D55-D69</f>
        <v>-28841.8263211727</v>
      </c>
      <c r="E71" s="35" t="n">
        <f aca="false">E53+E55-E69</f>
        <v>541.812056324457</v>
      </c>
      <c r="F71" s="35" t="n">
        <f aca="false">F53+F55-F69</f>
        <v>31883.7089226734</v>
      </c>
      <c r="G71" s="35" t="n">
        <f aca="false">G53+G55-G69</f>
        <v>58079.7639127541</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9285.22715309059</v>
      </c>
      <c r="D75" s="36" t="n">
        <f aca="false">D53+D72+D52+D55-D69-D51+D73+D74</f>
        <v>-22549.7543211727</v>
      </c>
      <c r="E75" s="36" t="n">
        <f aca="false">E53+E72+E52+E55-E69-E51+E73+E74</f>
        <v>8135.69205632446</v>
      </c>
      <c r="F75" s="36" t="n">
        <f aca="false">F53+F72+F52+F55-F69-F51+F73+F74</f>
        <v>41243.1660226734</v>
      </c>
      <c r="G75" s="36" t="n">
        <f aca="false">G53+G72+G52+G55-G69-G51+G73+G74</f>
        <v>68574.2348627541</v>
      </c>
    </row>
    <row r="76" customFormat="false" ht="15" hidden="false" customHeight="true" outlineLevel="0" collapsed="false">
      <c r="A76" s="10" t="s">
        <v>642</v>
      </c>
      <c r="C76" s="36" t="n">
        <f aca="false">C53+C52-(C69-C55*C70)-C51+C73+C74</f>
        <v>-298.579747682372</v>
      </c>
      <c r="D76" s="36" t="n">
        <f aca="false">D53+D52-(D69-D55*D70)-D51+D73+D74</f>
        <v>-35714.12</v>
      </c>
      <c r="E76" s="36" t="n">
        <f aca="false">E53+E52-(E69-E55*E70)-E51+E73+E74</f>
        <v>-8034.22916799998</v>
      </c>
      <c r="F76" s="36" t="n">
        <f aca="false">F53+F52-(F69-F55*F70)-F51+F73+F74</f>
        <v>22440.2170736</v>
      </c>
      <c r="G76" s="36" t="n">
        <f aca="false">G53+G52-(G69-G55*G70)-G51+G73+G74</f>
        <v>48396.7832994632</v>
      </c>
    </row>
    <row r="77" customFormat="false" ht="15" hidden="false" customHeight="true" outlineLevel="0" collapsed="false">
      <c r="A77" s="13" t="s">
        <v>643</v>
      </c>
      <c r="C77" s="16" t="n">
        <f aca="false">IFERROR(C76/C49,0)</f>
        <v>-0.0055045858869948</v>
      </c>
      <c r="D77" s="16" t="n">
        <f aca="false">IFERROR(D76/D49,0)</f>
        <v>-0.329210943549279</v>
      </c>
      <c r="E77" s="16" t="n">
        <f aca="false">IFERROR(E76/E49,0)</f>
        <v>-0.0477800750043709</v>
      </c>
      <c r="F77" s="16" t="n">
        <f aca="false">IFERROR(F76/F49,0)</f>
        <v>0.0988543755373558</v>
      </c>
      <c r="G77" s="16" t="n">
        <f aca="false">IFERROR(G76/G49,0)</f>
        <v>0.170559269561206</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136032.227153091</v>
      </c>
      <c r="E80" s="35" t="n">
        <f aca="false">D85</f>
        <v>113482.472831918</v>
      </c>
      <c r="F80" s="35" t="n">
        <f aca="false">E85</f>
        <v>121618.164888242</v>
      </c>
      <c r="G80" s="35" t="n">
        <f aca="false">F85</f>
        <v>162861.330910916</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4187.22715309059</v>
      </c>
      <c r="D82" s="35" t="n">
        <f aca="false">D75</f>
        <v>-22549.7543211727</v>
      </c>
      <c r="E82" s="35" t="n">
        <f aca="false">E75</f>
        <v>8135.69205632446</v>
      </c>
      <c r="F82" s="35" t="n">
        <f aca="false">F75</f>
        <v>41243.1660226734</v>
      </c>
      <c r="G82" s="35" t="n">
        <f aca="false">G75</f>
        <v>68574.2348627541</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136032.227153091</v>
      </c>
      <c r="D85" s="36" t="n">
        <f aca="false">D80+D82+D83+D84</f>
        <v>113482.472831918</v>
      </c>
      <c r="E85" s="36" t="n">
        <f aca="false">E80+E82+E83+E84</f>
        <v>121618.164888242</v>
      </c>
      <c r="F85" s="36" t="n">
        <f aca="false">F80+F82+F83+F84</f>
        <v>162861.330910916</v>
      </c>
      <c r="G85" s="36" t="n">
        <f aca="false">G80+G82+G83+G84</f>
        <v>231435.56577367</v>
      </c>
    </row>
    <row r="86" customFormat="false" ht="15" hidden="false" customHeight="true" outlineLevel="0" collapsed="false">
      <c r="A86" s="13" t="s">
        <v>653</v>
      </c>
      <c r="C86" s="35" t="n">
        <f aca="false">MIN(C80-C81,C85)</f>
        <v>131845</v>
      </c>
      <c r="D86" s="35" t="n">
        <f aca="false">MIN(D80-D81,D85)</f>
        <v>113482.472831918</v>
      </c>
      <c r="E86" s="35" t="n">
        <f aca="false">MIN(E80-E81,E85)</f>
        <v>113482.472831918</v>
      </c>
      <c r="F86" s="35" t="n">
        <f aca="false">MIN(F80-F81,F85)</f>
        <v>121618.164888242</v>
      </c>
      <c r="G86" s="35" t="n">
        <f aca="false">MIN(G80-G81,G85)</f>
        <v>162861.330910916</v>
      </c>
    </row>
    <row r="87" customFormat="false" ht="15" hidden="false" customHeight="true" outlineLevel="0" collapsed="false">
      <c r="A87" s="13" t="s">
        <v>654</v>
      </c>
      <c r="C87" s="35" t="n">
        <f aca="false">C86-Inputs!$B$29</f>
        <v>126845</v>
      </c>
      <c r="D87" s="35" t="n">
        <f aca="false">D86-Inputs!$B$29</f>
        <v>108482.472831918</v>
      </c>
      <c r="E87" s="35" t="n">
        <f aca="false">E86-Inputs!$B$29</f>
        <v>108482.472831918</v>
      </c>
      <c r="F87" s="35" t="n">
        <f aca="false">F86-Inputs!$B$29</f>
        <v>116618.164888242</v>
      </c>
      <c r="G87" s="35" t="n">
        <f aca="false">G86-Inputs!$B$29</f>
        <v>157861.330910916</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136032.227153091</v>
      </c>
      <c r="D100" s="35" t="n">
        <f aca="false">D85+SUM($C97:D97)+SUM($C98:D98)-SUM($C99:D99)</f>
        <v>113482.472831918</v>
      </c>
      <c r="E100" s="35" t="n">
        <f aca="false">E85+SUM($C97:E97)+SUM($C98:E98)-SUM($C99:E99)</f>
        <v>121618.164888242</v>
      </c>
      <c r="F100" s="35" t="n">
        <f aca="false">F85+SUM($C97:F97)+SUM($C98:F98)-SUM($C99:F99)</f>
        <v>162861.330910916</v>
      </c>
      <c r="G100" s="35" t="n">
        <f aca="false">G85+SUM($C97:G97)+SUM($C98:G98)-SUM($C99:G99)</f>
        <v>231435.56577367</v>
      </c>
    </row>
    <row r="101" customFormat="false" ht="15" hidden="false" customHeight="true" outlineLevel="0" collapsed="false">
      <c r="A101" s="13" t="s">
        <v>668</v>
      </c>
      <c r="C101" s="35" t="n">
        <f aca="false">MIN(C80-C81+0+C97,C100)</f>
        <v>131845</v>
      </c>
      <c r="D101" s="35" t="n">
        <f aca="false">MIN(D80-D81+SUM($C97:C97)+SUM($C98:C98)-SUM($C99:C99)+D97,D100)</f>
        <v>113482.472831918</v>
      </c>
      <c r="E101" s="35" t="n">
        <f aca="false">MIN(E80-E81+SUM($C97:D97)+SUM($C98:D98)-SUM($C99:D99)+E97,E100)</f>
        <v>113482.472831918</v>
      </c>
      <c r="F101" s="35" t="n">
        <f aca="false">MIN(F80-F81+SUM($C97:E97)+SUM($C98:E98)-SUM($C99:E99)+F97,F100)</f>
        <v>121618.164888242</v>
      </c>
      <c r="G101" s="35" t="n">
        <f aca="false">MIN(G80-G81+SUM($C97:F97)+SUM($C98:F98)-SUM($C99:F99)+G97,G100)</f>
        <v>162861.330910916</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1449.55201698514</v>
      </c>
      <c r="D106" s="35" t="n">
        <f aca="false">D17+D35</f>
        <v>-30593.6752</v>
      </c>
      <c r="E106" s="35" t="n">
        <f aca="false">E17+E35</f>
        <v>3304.58160000003</v>
      </c>
      <c r="F106" s="35" t="n">
        <f aca="false">F17+F35</f>
        <v>43232.58062</v>
      </c>
      <c r="G106" s="35" t="n">
        <f aca="false">G17+G35</f>
        <v>93925.666475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1449.55201698514</v>
      </c>
      <c r="D109" s="36" t="n">
        <f aca="false">D106-D108</f>
        <v>-31477.168896</v>
      </c>
      <c r="E109" s="36" t="n">
        <f aca="false">E106-E108</f>
        <v>663.918314000025</v>
      </c>
      <c r="F109" s="36" t="n">
        <f aca="false">F106-F108</f>
        <v>38117.587141</v>
      </c>
      <c r="G109" s="36" t="n">
        <f aca="false">G106-G108</f>
        <v>85590.071196625</v>
      </c>
    </row>
    <row r="110" customFormat="false" ht="15" hidden="false" customHeight="true" outlineLevel="0" collapsed="false">
      <c r="A110" s="13" t="s">
        <v>620</v>
      </c>
      <c r="C110" s="16" t="n">
        <f aca="false">IFERROR(C109/C105,0)</f>
        <v>0.0267237936835873</v>
      </c>
      <c r="D110" s="16" t="n">
        <f aca="false">IFERROR(D109/D105,0)</f>
        <v>-0.285024502504204</v>
      </c>
      <c r="E110" s="16" t="n">
        <f aca="false">IFERROR(E109/E105,0)</f>
        <v>0.00377833942596301</v>
      </c>
      <c r="F110" s="16" t="n">
        <f aca="false">IFERROR(F109/F105,0)</f>
        <v>0.154052144086656</v>
      </c>
      <c r="G110" s="16" t="n">
        <f aca="false">IFERROR(G109/G105,0)</f>
        <v>0.265758005889567</v>
      </c>
    </row>
    <row r="111" customFormat="false" ht="15" hidden="false" customHeight="true" outlineLevel="0" collapsed="false">
      <c r="A111" s="13" t="s">
        <v>621</v>
      </c>
      <c r="C111" s="35" t="n">
        <f aca="false">Historicals!F43+Historicals!H13+C136*Inputs!$B$20/4</f>
        <v>3183.03125</v>
      </c>
      <c r="D111" s="35" t="n">
        <f aca="false">MAX(0,D136-D137)*Inputs!$B$20</f>
        <v>3400.80567882726</v>
      </c>
      <c r="E111" s="35" t="n">
        <f aca="false">MAX(0,E136-E137)*Inputs!$B$20</f>
        <v>2854.63622879795</v>
      </c>
      <c r="F111" s="35" t="n">
        <f aca="false">MAX(0,F136-F137)*Inputs!$B$20</f>
        <v>3121.57639349796</v>
      </c>
      <c r="G111" s="35" t="n">
        <f aca="false">MAX(0,G136-G137)*Inputs!$B$20</f>
        <v>4299.68941568467</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4632.58326698514</v>
      </c>
      <c r="D114" s="35" t="n">
        <f aca="false">D109+D111+D112-D113</f>
        <v>-28076.3632171727</v>
      </c>
      <c r="E114" s="35" t="n">
        <f aca="false">E109+E111+E112-E113</f>
        <v>3518.55454279797</v>
      </c>
      <c r="F114" s="35" t="n">
        <f aca="false">F109+F111+F112-F113</f>
        <v>41239.163534498</v>
      </c>
      <c r="G114" s="35" t="n">
        <f aca="false">G109+G111+G112-G113</f>
        <v>89889.7606123097</v>
      </c>
    </row>
    <row r="115" customFormat="false" ht="15" hidden="false" customHeight="true" outlineLevel="0" collapsed="false">
      <c r="A115" s="13" t="s">
        <v>625</v>
      </c>
      <c r="C115" s="35" t="n">
        <f aca="false">C114*Inputs!$B$58</f>
        <v>3335.4599522293</v>
      </c>
      <c r="D115" s="35" t="n">
        <f aca="false">D114*Inputs!$B$58</f>
        <v>-20214.9815163644</v>
      </c>
      <c r="E115" s="35" t="n">
        <f aca="false">E114*Inputs!$B$58</f>
        <v>2533.35927081454</v>
      </c>
      <c r="F115" s="35" t="n">
        <f aca="false">F114*Inputs!$B$58</f>
        <v>29692.1977448385</v>
      </c>
      <c r="G115" s="35" t="n">
        <f aca="false">G114*Inputs!$B$58</f>
        <v>64720.627640863</v>
      </c>
    </row>
    <row r="116" customFormat="false" ht="15" hidden="false" customHeight="true" outlineLevel="0" collapsed="false">
      <c r="A116" s="13" t="s">
        <v>626</v>
      </c>
      <c r="C116" s="35" t="n">
        <f aca="false">Inputs!$B$60</f>
        <v>4200</v>
      </c>
      <c r="D116" s="35" t="n">
        <f aca="false">C118</f>
        <v>4200</v>
      </c>
      <c r="E116" s="35" t="n">
        <f aca="false">D118</f>
        <v>24414.9815163644</v>
      </c>
      <c r="F116" s="35" t="n">
        <f aca="false">E118</f>
        <v>21881.6222455498</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0</v>
      </c>
      <c r="E117" s="35" t="n">
        <f aca="false">IF(AND(2028=2026,Inputs!$B$61=1),0,MIN(E116,MAX(0,E115)))</f>
        <v>2533.35927081454</v>
      </c>
      <c r="F117" s="35" t="n">
        <f aca="false">IF(AND(2029=2026,Inputs!$B$61=1),0,MIN(F116,MAX(0,F115)))</f>
        <v>21881.6222455498</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24414.9815163644</v>
      </c>
      <c r="E118" s="35" t="n">
        <f aca="false">E116-E117+MAX(0,-E115)</f>
        <v>21881.6222455498</v>
      </c>
      <c r="F118" s="35" t="n">
        <f aca="false">F116-F117+MAX(0,-F115)</f>
        <v>0</v>
      </c>
      <c r="G118" s="35" t="n">
        <f aca="false">G116-G117+MAX(0,-G115)</f>
        <v>0</v>
      </c>
    </row>
    <row r="119" customFormat="false" ht="15" hidden="false" customHeight="true" outlineLevel="0" collapsed="false">
      <c r="A119" s="13" t="s">
        <v>629</v>
      </c>
      <c r="C119" s="35" t="n">
        <f aca="false">MAX(0,C115-C117)*Inputs!$B$59</f>
        <v>200.127597133758</v>
      </c>
      <c r="D119" s="35" t="n">
        <f aca="false">MAX(0,D115-D117)*Inputs!$B$59</f>
        <v>0</v>
      </c>
      <c r="E119" s="35" t="n">
        <f aca="false">MAX(0,E115-E117)*Inputs!$B$59</f>
        <v>0</v>
      </c>
      <c r="F119" s="35" t="n">
        <f aca="false">MAX(0,F115-F117)*Inputs!$B$59</f>
        <v>468.634529957321</v>
      </c>
      <c r="G119" s="35" t="n">
        <f aca="false">MAX(0,G115-G117)*Inputs!$B$59</f>
        <v>3883.23765845178</v>
      </c>
    </row>
    <row r="120" customFormat="false" ht="15" hidden="false" customHeight="true" outlineLevel="0" collapsed="false">
      <c r="A120" s="13" t="s">
        <v>630</v>
      </c>
      <c r="C120" s="35" t="n">
        <f aca="false">C114-C119</f>
        <v>4432.45566985139</v>
      </c>
      <c r="D120" s="35" t="n">
        <f aca="false">D114-D119</f>
        <v>-28076.3632171727</v>
      </c>
      <c r="E120" s="35" t="n">
        <f aca="false">E114-E119</f>
        <v>3518.55454279797</v>
      </c>
      <c r="F120" s="35" t="n">
        <f aca="false">F114-F119</f>
        <v>40770.5290045406</v>
      </c>
      <c r="G120" s="35" t="n">
        <f aca="false">G114-G119</f>
        <v>86006.5229538579</v>
      </c>
    </row>
    <row r="121" customFormat="false" ht="15" hidden="false" customHeight="true" outlineLevel="0" collapsed="false">
      <c r="A121" s="13" t="s">
        <v>631</v>
      </c>
      <c r="C121" s="35" t="n">
        <f aca="false">Inputs!$B$56</f>
        <v>8200</v>
      </c>
      <c r="D121" s="35" t="n">
        <f aca="false">C123</f>
        <v>4654.03546411889</v>
      </c>
      <c r="E121" s="35" t="n">
        <f aca="false">D123</f>
        <v>32730.3986812916</v>
      </c>
      <c r="F121" s="35" t="n">
        <f aca="false">E123</f>
        <v>29915.5550470533</v>
      </c>
      <c r="G121" s="35" t="n">
        <f aca="false">F123</f>
        <v>0</v>
      </c>
    </row>
    <row r="122" customFormat="false" ht="15" hidden="false" customHeight="true" outlineLevel="0" collapsed="false">
      <c r="A122" s="13" t="s">
        <v>632</v>
      </c>
      <c r="C122" s="35" t="n">
        <f aca="false">MIN(C121,Inputs!$B$57*MAX(0,C120))</f>
        <v>3545.96453588111</v>
      </c>
      <c r="D122" s="35" t="n">
        <f aca="false">MIN(D121,Inputs!$B$57*MAX(0,D120))</f>
        <v>0</v>
      </c>
      <c r="E122" s="35" t="n">
        <f aca="false">MIN(E121,Inputs!$B$57*MAX(0,E120))</f>
        <v>2814.84363423838</v>
      </c>
      <c r="F122" s="35" t="n">
        <f aca="false">MIN(F121,Inputs!$B$57*MAX(0,F120))</f>
        <v>29915.5550470533</v>
      </c>
      <c r="G122" s="35" t="n">
        <f aca="false">MIN(G121,Inputs!$B$57*MAX(0,G120))</f>
        <v>0</v>
      </c>
    </row>
    <row r="123" customFormat="false" ht="15" hidden="false" customHeight="true" outlineLevel="0" collapsed="false">
      <c r="A123" s="13" t="s">
        <v>633</v>
      </c>
      <c r="C123" s="35" t="n">
        <f aca="false">C121-C122+MAX(0,-C120)</f>
        <v>4654.03546411889</v>
      </c>
      <c r="D123" s="35" t="n">
        <f aca="false">D121-D122+MAX(0,-D120)</f>
        <v>32730.3986812916</v>
      </c>
      <c r="E123" s="35" t="n">
        <f aca="false">E121-E122+MAX(0,-E120)</f>
        <v>29915.5550470533</v>
      </c>
      <c r="F123" s="35" t="n">
        <f aca="false">F121-F122+MAX(0,-F120)</f>
        <v>0</v>
      </c>
      <c r="G123" s="35" t="n">
        <f aca="false">G121-G122+MAX(0,-G120)</f>
        <v>0</v>
      </c>
    </row>
    <row r="124" customFormat="false" ht="15" hidden="false" customHeight="true" outlineLevel="0" collapsed="false">
      <c r="A124" s="13" t="s">
        <v>634</v>
      </c>
      <c r="C124" s="35" t="n">
        <f aca="false">MAX(0,C120-C122)*Inputs!$B$55</f>
        <v>186.163138133758</v>
      </c>
      <c r="D124" s="35" t="n">
        <f aca="false">MAX(0,D120-D122)*Inputs!$B$55</f>
        <v>0</v>
      </c>
      <c r="E124" s="35" t="n">
        <f aca="false">MAX(0,E120-E122)*Inputs!$B$55</f>
        <v>147.779290797515</v>
      </c>
      <c r="F124" s="35" t="n">
        <f aca="false">MAX(0,F120-F122)*Inputs!$B$55</f>
        <v>2279.54453107235</v>
      </c>
      <c r="G124" s="35" t="n">
        <f aca="false">MAX(0,G120-G122)*Inputs!$B$55</f>
        <v>18061.3698203102</v>
      </c>
    </row>
    <row r="125" customFormat="false" ht="15" hidden="false" customHeight="true" outlineLevel="0" collapsed="false">
      <c r="A125" s="10" t="s">
        <v>635</v>
      </c>
      <c r="C125" s="36" t="n">
        <f aca="false">IF(Inputs!$Q$105=0,MAX(0,C109+C111)*Inputs!B$66,IF(Inputs!$Q$105=2,MAX(0,C114)*Inputs!$Q$106,C119+C124))</f>
        <v>386.290735267516</v>
      </c>
      <c r="D125" s="36" t="n">
        <f aca="false">IF(Inputs!$Q$105=0,MAX(0,D109+D111)*Inputs!C$66,IF(Inputs!$Q$105=2,MAX(0,D114)*Inputs!$Q$106,D119+D124))</f>
        <v>0</v>
      </c>
      <c r="E125" s="36" t="n">
        <f aca="false">IF(Inputs!$Q$105=0,MAX(0,E109+E111)*Inputs!D$66,IF(Inputs!$Q$105=2,MAX(0,E114)*Inputs!$Q$106,E119+E124))</f>
        <v>147.779290797515</v>
      </c>
      <c r="F125" s="36" t="n">
        <f aca="false">IF(Inputs!$Q$105=0,MAX(0,F109+F111)*Inputs!E$66,IF(Inputs!$Q$105=2,MAX(0,F114)*Inputs!$Q$106,F119+F124))</f>
        <v>2748.17906102967</v>
      </c>
      <c r="G125" s="36" t="n">
        <f aca="false">IF(Inputs!$Q$105=0,MAX(0,G109+G111)*Inputs!F$66,IF(Inputs!$Q$105=2,MAX(0,G114)*Inputs!$Q$106,G119+G124))</f>
        <v>21944.6074787619</v>
      </c>
    </row>
    <row r="126" customFormat="false" ht="15" hidden="false" customHeight="true" outlineLevel="0" collapsed="false">
      <c r="A126" s="13" t="s">
        <v>636</v>
      </c>
      <c r="C126" s="16" t="n">
        <f aca="false">IF(C114&gt;0,MIN(1,C125/C114),0)</f>
        <v>0.0833856</v>
      </c>
      <c r="D126" s="16" t="n">
        <f aca="false">IF(D114&gt;0,MIN(1,D125/D114),0)</f>
        <v>0</v>
      </c>
      <c r="E126" s="16" t="n">
        <f aca="false">IF(E114&gt;0,MIN(1,E125/E114),0)</f>
        <v>0.042</v>
      </c>
      <c r="F126" s="16" t="n">
        <f aca="false">IF(F114&gt;0,MIN(1,F125/F114),0)</f>
        <v>0.0666400291734997</v>
      </c>
      <c r="G126" s="16" t="n">
        <f aca="false">IF(G114&gt;0,MIN(1,G125/G114),0)</f>
        <v>0.244128</v>
      </c>
    </row>
    <row r="127" customFormat="false" ht="15" hidden="false" customHeight="true" outlineLevel="0" collapsed="false">
      <c r="A127" s="13" t="s">
        <v>637</v>
      </c>
      <c r="C127" s="35" t="n">
        <f aca="false">C109+C111-C125</f>
        <v>4246.29253171763</v>
      </c>
      <c r="D127" s="35" t="n">
        <f aca="false">D109+D111-D125</f>
        <v>-28076.3632171727</v>
      </c>
      <c r="E127" s="35" t="n">
        <f aca="false">E109+E111-E125</f>
        <v>3370.77525200046</v>
      </c>
      <c r="F127" s="35" t="n">
        <f aca="false">F109+F111-F125</f>
        <v>38490.9844734683</v>
      </c>
      <c r="G127" s="35" t="n">
        <f aca="false">G109+G111-G125</f>
        <v>67945.1531335478</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9285.22715309059</v>
      </c>
      <c r="D131" s="36" t="n">
        <f aca="false">D109+D128+D108+D111-D125-D107+D129+D130</f>
        <v>-21846.7780011727</v>
      </c>
      <c r="E131" s="36" t="n">
        <f aca="false">E109+E128+E108+E111-E125-E107+E129+E130</f>
        <v>10677.6065880005</v>
      </c>
      <c r="F131" s="36" t="n">
        <f aca="false">F109+F128+F108+F111-F125-F107+F129+F130</f>
        <v>47124.5208874683</v>
      </c>
      <c r="G131" s="36" t="n">
        <f aca="false">G109+G128+G108+G111-G125-G107+G129+G130</f>
        <v>77202.9471650478</v>
      </c>
    </row>
    <row r="132" customFormat="false" ht="15" hidden="false" customHeight="true" outlineLevel="0" collapsed="false">
      <c r="A132" s="10" t="s">
        <v>642</v>
      </c>
      <c r="C132" s="36" t="n">
        <f aca="false">C109+C108-(C125-C111*C126)-C107+C129+C130</f>
        <v>-298.579747682372</v>
      </c>
      <c r="D132" s="36" t="n">
        <f aca="false">D109+D108-(D125-D111*D126)-D107+D129+D130</f>
        <v>-35011.14368</v>
      </c>
      <c r="E132" s="36" t="n">
        <f aca="false">E109+E108-(E125-E111*E126)-E107+E129+E130</f>
        <v>-5509.15091918798</v>
      </c>
      <c r="F132" s="36" t="n">
        <f aca="false">F109+F108-(F125-F111*F126)-F107+F129+F130</f>
        <v>28320.7725359003</v>
      </c>
      <c r="G132" s="36" t="n">
        <f aca="false">G109+G108-(G125-G111*G126)-G107+G129+G130</f>
        <v>56927.7245770353</v>
      </c>
    </row>
    <row r="133" customFormat="false" ht="15" hidden="false" customHeight="true" outlineLevel="0" collapsed="false">
      <c r="A133" s="13" t="s">
        <v>643</v>
      </c>
      <c r="C133" s="16" t="n">
        <f aca="false">IFERROR(C132/C105,0)</f>
        <v>-0.0055045858869948</v>
      </c>
      <c r="D133" s="16" t="n">
        <f aca="false">IFERROR(D132/D105,0)</f>
        <v>-0.317024502504204</v>
      </c>
      <c r="E133" s="16" t="n">
        <f aca="false">IFERROR(E132/E105,0)</f>
        <v>-0.0313524144199876</v>
      </c>
      <c r="F133" s="16" t="n">
        <f aca="false">IFERROR(F132/F105,0)</f>
        <v>0.114458339537792</v>
      </c>
      <c r="G133" s="16" t="n">
        <f aca="false">IFERROR(G132/G105,0)</f>
        <v>0.176761140070415</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136032.227153091</v>
      </c>
      <c r="E136" s="35" t="n">
        <f aca="false">D141</f>
        <v>114185.449151918</v>
      </c>
      <c r="F136" s="35" t="n">
        <f aca="false">E141</f>
        <v>124863.055739918</v>
      </c>
      <c r="G136" s="35" t="n">
        <f aca="false">F141</f>
        <v>171987.576627387</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4187.22715309059</v>
      </c>
      <c r="D138" s="35" t="n">
        <f aca="false">D131</f>
        <v>-21846.7780011727</v>
      </c>
      <c r="E138" s="35" t="n">
        <f aca="false">E131</f>
        <v>10677.6065880005</v>
      </c>
      <c r="F138" s="35" t="n">
        <f aca="false">F131</f>
        <v>47124.5208874683</v>
      </c>
      <c r="G138" s="35" t="n">
        <f aca="false">G131</f>
        <v>77202.9471650478</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136032.227153091</v>
      </c>
      <c r="D141" s="36" t="n">
        <f aca="false">D136+D138+D139+D140</f>
        <v>114185.449151918</v>
      </c>
      <c r="E141" s="36" t="n">
        <f aca="false">E136+E138+E139+E140</f>
        <v>124863.055739918</v>
      </c>
      <c r="F141" s="36" t="n">
        <f aca="false">F136+F138+F139+F140</f>
        <v>171987.576627387</v>
      </c>
      <c r="G141" s="36" t="n">
        <f aca="false">G136+G138+G139+G140</f>
        <v>249190.523792434</v>
      </c>
    </row>
    <row r="142" customFormat="false" ht="15" hidden="false" customHeight="true" outlineLevel="0" collapsed="false">
      <c r="A142" s="13" t="s">
        <v>653</v>
      </c>
      <c r="C142" s="35" t="n">
        <f aca="false">MIN(C136-C137,C141)</f>
        <v>131845</v>
      </c>
      <c r="D142" s="35" t="n">
        <f aca="false">MIN(D136-D137,D141)</f>
        <v>114185.449151918</v>
      </c>
      <c r="E142" s="35" t="n">
        <f aca="false">MIN(E136-E137,E141)</f>
        <v>114185.449151918</v>
      </c>
      <c r="F142" s="35" t="n">
        <f aca="false">MIN(F136-F137,F141)</f>
        <v>124863.055739918</v>
      </c>
      <c r="G142" s="35" t="n">
        <f aca="false">MIN(G136-G137,G141)</f>
        <v>171987.576627387</v>
      </c>
    </row>
    <row r="143" customFormat="false" ht="15" hidden="false" customHeight="true" outlineLevel="0" collapsed="false">
      <c r="A143" s="13" t="s">
        <v>654</v>
      </c>
      <c r="C143" s="35" t="n">
        <f aca="false">C142-Inputs!$B$29</f>
        <v>126845</v>
      </c>
      <c r="D143" s="35" t="n">
        <f aca="false">D142-Inputs!$B$29</f>
        <v>109185.449151918</v>
      </c>
      <c r="E143" s="35" t="n">
        <f aca="false">E142-Inputs!$B$29</f>
        <v>109185.449151918</v>
      </c>
      <c r="F143" s="35" t="n">
        <f aca="false">F142-Inputs!$B$29</f>
        <v>119863.055739918</v>
      </c>
      <c r="G143" s="35" t="n">
        <f aca="false">G142-Inputs!$B$29</f>
        <v>166987.576627387</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136032.227153091</v>
      </c>
      <c r="D156" s="35" t="n">
        <f aca="false">D141+SUM($C153:D153)+SUM($C154:D154)-SUM($C155:D155)</f>
        <v>114185.449151918</v>
      </c>
      <c r="E156" s="35" t="n">
        <f aca="false">E141+SUM($C153:E153)+SUM($C154:E154)-SUM($C155:E155)</f>
        <v>124863.055739918</v>
      </c>
      <c r="F156" s="35" t="n">
        <f aca="false">F141+SUM($C153:F153)+SUM($C154:F154)-SUM($C155:F155)</f>
        <v>171987.576627387</v>
      </c>
      <c r="G156" s="35" t="n">
        <f aca="false">G141+SUM($C153:G153)+SUM($C154:G154)-SUM($C155:G155)</f>
        <v>249190.523792434</v>
      </c>
    </row>
    <row r="157" customFormat="false" ht="15" hidden="false" customHeight="true" outlineLevel="0" collapsed="false">
      <c r="A157" s="13" t="s">
        <v>668</v>
      </c>
      <c r="C157" s="35" t="n">
        <f aca="false">MIN(C136-C137+0+C153,C156)</f>
        <v>131845</v>
      </c>
      <c r="D157" s="35" t="n">
        <f aca="false">MIN(D136-D137+SUM($C153:C153)+SUM($C154:C154)-SUM($C155:C155)+D153,D156)</f>
        <v>114185.449151918</v>
      </c>
      <c r="E157" s="35" t="n">
        <f aca="false">MIN(E136-E137+SUM($C153:D153)+SUM($C154:D154)-SUM($C155:D155)+E153,E156)</f>
        <v>114185.449151918</v>
      </c>
      <c r="F157" s="35" t="n">
        <f aca="false">MIN(F136-F137+SUM($C153:E153)+SUM($C154:E154)-SUM($C155:E155)+F153,F156)</f>
        <v>124863.055739918</v>
      </c>
      <c r="G157" s="35" t="n">
        <f aca="false">MIN(G136-G137+SUM($C153:F153)+SUM($C154:F154)-SUM($C155:F155)+G153,G156)</f>
        <v>171987.576627387</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Inputs!$B$19+Inputs!$Q$104</f>
        <v>0.12</v>
      </c>
      <c r="G162" s="16" t="n">
        <f aca="false">Inputs!$B$19+Inputs!$Q$104</f>
        <v>0.12</v>
      </c>
    </row>
    <row r="163" customFormat="false" ht="15" hidden="false" customHeight="true" outlineLevel="0" collapsed="false">
      <c r="A163" s="13" t="s">
        <v>673</v>
      </c>
      <c r="F163" s="35" t="n">
        <f aca="false">G53*(1-G70)</f>
        <v>54927.5200994632</v>
      </c>
      <c r="G163" s="35" t="n">
        <f aca="false">G109*(1-G126)</f>
        <v>64695.1382955354</v>
      </c>
    </row>
    <row r="164" customFormat="false" ht="15" hidden="false" customHeight="true" outlineLevel="0" collapsed="false">
      <c r="A164" s="13" t="s">
        <v>674</v>
      </c>
      <c r="F164" s="54" t="n">
        <f aca="false">Inputs!$Q$102</f>
        <v>30</v>
      </c>
      <c r="G164" s="54" t="n">
        <f aca="false">Inputs!$Q$102</f>
        <v>30</v>
      </c>
    </row>
    <row r="165" customFormat="false" ht="15" hidden="false" customHeight="true" outlineLevel="0" collapsed="false">
      <c r="A165" s="13" t="s">
        <v>675</v>
      </c>
      <c r="F165" s="35" t="n">
        <f aca="false">F163*F164</f>
        <v>1647825.6029839</v>
      </c>
      <c r="G165" s="35" t="n">
        <f aca="false">G163*G164</f>
        <v>1940854.14886606</v>
      </c>
    </row>
    <row r="166" customFormat="false" ht="15" hidden="false" customHeight="true" outlineLevel="0" collapsed="false">
      <c r="A166" s="13" t="s">
        <v>676</v>
      </c>
      <c r="F166" s="35" t="n">
        <f aca="false">F165*$G$21</f>
        <v>1047222.96075461</v>
      </c>
      <c r="G166" s="35" t="n">
        <f aca="false">G165*$G$21</f>
        <v>1233447.8991514</v>
      </c>
    </row>
    <row r="167" customFormat="false" ht="15" hidden="false" customHeight="true" outlineLevel="0" collapsed="false">
      <c r="A167" s="13" t="s">
        <v>677</v>
      </c>
      <c r="F167" s="35" t="n">
        <f aca="false">SUMPRODUCT(D76:G76,$D$21:$G$21)-F162*SUMPRODUCT(D81:G81,$D$21:$G$21)</f>
        <v>8437.08854665504</v>
      </c>
      <c r="G167" s="35" t="n">
        <f aca="false">SUMPRODUCT(D132:G132,$D$21:$G$21)-G162*SUMPRODUCT(D137:G137,$D$21:$G$21)</f>
        <v>20684.9535274604</v>
      </c>
    </row>
    <row r="168" customFormat="false" ht="15" hidden="false" customHeight="true" outlineLevel="0" collapsed="false">
      <c r="A168" s="13" t="s">
        <v>678</v>
      </c>
      <c r="F168" s="35" t="n">
        <f aca="false">F166+F167</f>
        <v>1055660.04930126</v>
      </c>
      <c r="G168" s="35" t="n">
        <f aca="false">G166+G167</f>
        <v>1254132.85267886</v>
      </c>
    </row>
    <row r="169" customFormat="false" ht="15" hidden="false" customHeight="true" outlineLevel="0" collapsed="false">
      <c r="A169" s="13" t="s">
        <v>679</v>
      </c>
      <c r="F169" s="35" t="n">
        <f aca="false">(G76-G74)*Inputs!$Q$103*$G$21</f>
        <v>861196.860256596</v>
      </c>
      <c r="G169" s="35" t="n">
        <f aca="false">(G132-G130)*Inputs!$Q$103*$G$21</f>
        <v>1013000.7476724</v>
      </c>
    </row>
    <row r="170" customFormat="false" ht="15" hidden="false" customHeight="true" outlineLevel="0" collapsed="false">
      <c r="A170" s="13" t="s">
        <v>680</v>
      </c>
      <c r="F170" s="35" t="n">
        <f aca="false">F167+F169</f>
        <v>869633.948803251</v>
      </c>
      <c r="G170" s="35" t="n">
        <f aca="false">G167+G169</f>
        <v>1033685.70119986</v>
      </c>
    </row>
    <row r="171" customFormat="false" ht="15" hidden="false" customHeight="true" outlineLevel="0" collapsed="false">
      <c r="A171" s="13" t="s">
        <v>681</v>
      </c>
      <c r="F171" s="35" t="n">
        <f aca="false">F168*Inputs!$B$21+F170*(1-Inputs!$B$21)</f>
        <v>962646.999052257</v>
      </c>
      <c r="G171" s="35" t="n">
        <f aca="false">G168*Inputs!$B$21+G170*(1-Inputs!$B$21)</f>
        <v>1143909.27693936</v>
      </c>
    </row>
    <row r="172" customFormat="false" ht="15" hidden="false" customHeight="true" outlineLevel="0" collapsed="false">
      <c r="A172" s="13" t="s">
        <v>682</v>
      </c>
      <c r="F172" s="16" t="n">
        <f aca="false">IFERROR(F166/F168,0)</f>
        <v>0.992007759929686</v>
      </c>
      <c r="G172" s="16" t="n">
        <f aca="false">IFERROR(G166/G168,0)</f>
        <v>0.983506569114048</v>
      </c>
    </row>
    <row r="173" customFormat="false" ht="15" hidden="false" customHeight="true" outlineLevel="0" collapsed="false">
      <c r="A173" s="13" t="s">
        <v>683</v>
      </c>
      <c r="F173" s="16" t="n">
        <f aca="false">IFERROR(F169/F170,0)</f>
        <v>0.990298115019238</v>
      </c>
      <c r="G173" s="16" t="n">
        <f aca="false">IFERROR(G169/G170,0)</f>
        <v>0.979989126768949</v>
      </c>
    </row>
    <row r="174" customFormat="false" ht="15" hidden="false" customHeight="true" outlineLevel="0" collapsed="false">
      <c r="A174" s="13" t="s">
        <v>684</v>
      </c>
      <c r="F174" s="35" t="n">
        <f aca="false">C85</f>
        <v>136032.227153091</v>
      </c>
      <c r="G174" s="35" t="n">
        <f aca="false">C141</f>
        <v>136032.227153091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1098679.22620535</v>
      </c>
      <c r="G176" s="34" t="n">
        <f aca="false">G171+G174+G175</f>
        <v>1279941.50409245</v>
      </c>
    </row>
    <row r="177" customFormat="false" ht="15" hidden="false" customHeight="true" outlineLevel="0" collapsed="false">
      <c r="A177" s="13" t="s">
        <v>687</v>
      </c>
      <c r="F177" s="35" t="n">
        <f aca="false">IF(F182="OK",F176,"unresolved")</f>
        <v>1098679.22620535</v>
      </c>
      <c r="G177" s="35" t="n">
        <f aca="false">IF(G182="OK",G176,"unresolved")</f>
        <v>1279941.50409245</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61.2519117628553</v>
      </c>
      <c r="G179" s="25" t="n">
        <f aca="false">IF(G182="OK",G176/G178,"n/a")</f>
        <v>71.3573736540587</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61.2519117628553</v>
      </c>
      <c r="G184" s="25" t="n">
        <f aca="false">IF(NOT(ISNUMBER(G179)),"unresolved",IF(G180=0,G179,(G176+G180/(1+G162)^IF(ISNUMBER(G149),MAX(0,G149-2027),0))/(G178+(G180/(1-Inputs!$B$31))/(G179*(1+G162)^IF(ISNUMBER(G149),MAX(0,G149-2027),0)*(1-0)))))</f>
        <v>71.3573736540587</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61.2519117628553</v>
      </c>
      <c r="G185" s="25" t="n">
        <f aca="false">IF(NOT(ISNUMBER(G179)),"unresolved",IF(G180=0,G179,(G176+G180/(1+G162)^IF(ISNUMBER(G149),MAX(0,G149-2027),0))/(G178+(G180/(1-Inputs!$B$31))/(G179*(1+G162)^IF(ISNUMBER(G149),MAX(0,G149-2027),0)*(1-Inputs!$B$30)))))</f>
        <v>71.3573736540587</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61.2519117628553</v>
      </c>
      <c r="G186" s="25" t="n">
        <f aca="false">IF(NOT(ISNUMBER(G179)),"unresolved",IF(G180=0,G179,(G176+G180/(1+G162)^IF(ISNUMBER(G149),MAX(0,G149-2027),0))/(G178+(G180/(1-Inputs!$B$31))/(G179*(1+G162)^IF(ISNUMBER(G149),MAX(0,G149-2027),0)*(1-0.3)))))</f>
        <v>71.3573736540587</v>
      </c>
    </row>
    <row r="187" customFormat="false" ht="15" hidden="false" customHeight="true" outlineLevel="0" collapsed="false">
      <c r="A187" s="13" t="s">
        <v>696</v>
      </c>
      <c r="F187" s="25" t="n">
        <f aca="false">F185</f>
        <v>61.2519117628553</v>
      </c>
      <c r="G187" s="25" t="n">
        <f aca="false">G185</f>
        <v>71.3573736540587</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61.2519117628553</v>
      </c>
      <c r="G189" s="12" t="n">
        <f aca="false">IF(ISNUMBER(G187),G187/(1+Inputs!$B$25)^G188,"unresolved")</f>
        <v>71.3573736540587</v>
      </c>
    </row>
    <row r="190" customFormat="false" ht="15" hidden="false" customHeight="true" outlineLevel="0" collapsed="false">
      <c r="A190" s="13" t="s">
        <v>699</v>
      </c>
      <c r="F190" s="25" t="n">
        <f aca="false">IF(F180=0,F189,"unresolved")</f>
        <v>61.2519117628553</v>
      </c>
      <c r="G190" s="25" t="n">
        <f aca="false">IF(G180=0,G189,"unresolved")</f>
        <v>71.3573736540587</v>
      </c>
    </row>
    <row r="191" customFormat="false" ht="15" hidden="false" customHeight="true" outlineLevel="0" collapsed="false">
      <c r="A191" s="13" t="s">
        <v>700</v>
      </c>
      <c r="F191" s="35" t="n">
        <f aca="false">IF(ISNUMBER(F179),F176+F180/(1+F162)^IF(ISNUMBER(G93),MAX(0,G93-2027),0),"unresolved")</f>
        <v>1098679.22620535</v>
      </c>
      <c r="G191" s="35" t="n">
        <f aca="false">IF(ISNUMBER(G179),G176+G180/(1+G162)^IF(ISNUMBER(G149),MAX(0,G149-2027),0),"unresolved")</f>
        <v>1279941.50409245</v>
      </c>
    </row>
    <row r="192" customFormat="false" ht="15" hidden="false" customHeight="true" outlineLevel="0" collapsed="false">
      <c r="A192" s="13" t="s">
        <v>701</v>
      </c>
      <c r="F192" s="28" t="n">
        <f aca="false">IFERROR(F191/D49,"n/a")</f>
        <v>10.127569283999</v>
      </c>
      <c r="G192" s="28" t="n">
        <f aca="false">IFERROR(G191/D105,"n/a")</f>
        <v>11.589819009574</v>
      </c>
    </row>
    <row r="193" customFormat="false" ht="15" hidden="false" customHeight="true" outlineLevel="0" collapsed="false">
      <c r="A193" s="13" t="s">
        <v>702</v>
      </c>
      <c r="F193" s="25" t="n">
        <f aca="false">(F168+F174)/F178</f>
        <v>66.4374354450709</v>
      </c>
      <c r="G193" s="25" t="n">
        <f aca="false">(G168+G174)/G178</f>
        <v>77.5023926681168</v>
      </c>
    </row>
    <row r="194" customFormat="false" ht="15" hidden="false" customHeight="true" outlineLevel="0" collapsed="false">
      <c r="A194" s="13" t="s">
        <v>703</v>
      </c>
      <c r="F194" s="25" t="n">
        <f aca="false">(F170+F174)/F178</f>
        <v>56.0663880806397</v>
      </c>
      <c r="G194" s="25" t="n">
        <f aca="false">(G170+G174)/G178</f>
        <v>65.2123546400006</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721</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Historicals!F35+(Inputs!$B$5+Inputs!$R$75)</f>
        <v>54242</v>
      </c>
      <c r="D5" s="35" t="n">
        <f aca="false">C5*(1+Inputs!$R$77)</f>
        <v>108484</v>
      </c>
      <c r="E5" s="35" t="n">
        <f aca="false">D5*(1+Inputs!$R$78)</f>
        <v>168150.2</v>
      </c>
      <c r="F5" s="35" t="n">
        <f aca="false">E5*(1+Inputs!$R$79)</f>
        <v>227002.77</v>
      </c>
      <c r="G5" s="35" t="n">
        <f aca="false">F5*(1+Inputs!$R$80)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Historicals!F51+(Inputs!$B$5+Inputs!$R$75)*Historicals!F51/Historicals!F35</f>
        <v>10731.163207663</v>
      </c>
      <c r="D7" s="35" t="n">
        <f aca="false">D5*Inputs!$R$76</f>
        <v>21696.8</v>
      </c>
      <c r="E7" s="35" t="n">
        <f aca="false">E5*Inputs!$R$76</f>
        <v>33630.04</v>
      </c>
      <c r="F7" s="35" t="n">
        <f aca="false">F5*Inputs!$R$76</f>
        <v>45400.554</v>
      </c>
      <c r="G7" s="35" t="n">
        <f aca="false">G5*Inputs!$R$76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Historicals!F36+Historicals!H6+Inputs!$R$75*Inputs!$R$81</f>
        <v>28258</v>
      </c>
      <c r="D9" s="35" t="n">
        <f aca="false">(C9-Inputs!$R$113)*(1+Inputs!$R$82)</f>
        <v>48038.6</v>
      </c>
      <c r="E9" s="35" t="n">
        <f aca="false">D9*(1+Inputs!$R$83)</f>
        <v>69655.97</v>
      </c>
      <c r="F9" s="35" t="n">
        <f aca="false">E9*(1+Inputs!$R$84)</f>
        <v>90552.761</v>
      </c>
      <c r="G9" s="35" t="n">
        <f aca="false">F9*(1+Inputs!$R$85)</f>
        <v>108663.3132</v>
      </c>
    </row>
    <row r="10" customFormat="false" ht="15" hidden="false" customHeight="true" outlineLevel="0" collapsed="false">
      <c r="A10" s="13" t="s">
        <v>219</v>
      </c>
      <c r="B10" s="41" t="n">
        <f aca="false">Historicals!D36</f>
        <v>7326</v>
      </c>
      <c r="C10" s="35" t="n">
        <f aca="false">Historicals!F36+Historicals!H6+MAX(Inputs!$R$75*Inputs!$R$81,Inputs!$R$108*C22)</f>
        <v>30039</v>
      </c>
      <c r="D10" s="35" t="n">
        <f aca="false">MAX(D9,Inputs!$R$108*D22)</f>
        <v>122742.5</v>
      </c>
      <c r="E10" s="35" t="n">
        <f aca="false">MAX(E9,Inputs!$R$108*E22)</f>
        <v>107338.25</v>
      </c>
      <c r="F10" s="35" t="n">
        <f aca="false">MAX(F9,Inputs!$R$108*F22)</f>
        <v>110733.25</v>
      </c>
      <c r="G10" s="35" t="n">
        <f aca="false">MAX(G9,Inputs!$R$108*G22)</f>
        <v>108663.3132</v>
      </c>
    </row>
    <row r="11" customFormat="false" ht="15" hidden="false" customHeight="true" outlineLevel="0" collapsed="false">
      <c r="A11" s="13" t="s">
        <v>220</v>
      </c>
      <c r="B11" s="41" t="n">
        <f aca="false">Historicals!D37</f>
        <v>1839</v>
      </c>
      <c r="C11" s="35" t="n">
        <f aca="false">Historicals!F37+Historicals!H7+Inputs!$R$75*Historicals!H24</f>
        <v>6982.0728945506</v>
      </c>
      <c r="D11" s="35" t="n">
        <f aca="false">D5*Inputs!$R$86</f>
        <v>15187.76</v>
      </c>
      <c r="E11" s="35" t="n">
        <f aca="false">E5*Inputs!$R$87</f>
        <v>21859.526</v>
      </c>
      <c r="F11" s="35" t="n">
        <f aca="false">F5*Inputs!$R$88</f>
        <v>27240.3324</v>
      </c>
      <c r="G11" s="35" t="n">
        <f aca="false">G5*Inputs!$R$89</f>
        <v>31212.880875</v>
      </c>
    </row>
    <row r="12" customFormat="false" ht="15" hidden="false" customHeight="true" outlineLevel="0" collapsed="false">
      <c r="A12" s="13" t="s">
        <v>584</v>
      </c>
      <c r="B12" s="41" t="n">
        <f aca="false">Historicals!D49</f>
        <v>1158</v>
      </c>
      <c r="C12" s="35" t="n">
        <f aca="false">Historicals!F49+Historicals!H19+Inputs!$R$75*Historicals!H29</f>
        <v>4580.19462137297</v>
      </c>
      <c r="D12" s="35" t="n">
        <f aca="false">D5*Inputs!$R$90</f>
        <v>9763.56</v>
      </c>
      <c r="E12" s="35" t="n">
        <f aca="false">E5*Inputs!$R$91</f>
        <v>13452.016</v>
      </c>
      <c r="F12" s="35" t="n">
        <f aca="false">F5*Inputs!$R$92</f>
        <v>15890.1939</v>
      </c>
      <c r="G12" s="35" t="n">
        <f aca="false">G5*Inputs!$R$93</f>
        <v>17025.20775</v>
      </c>
    </row>
    <row r="13" customFormat="false" ht="15" hidden="false" customHeight="true" outlineLevel="0" collapsed="false">
      <c r="A13" s="13" t="s">
        <v>585</v>
      </c>
      <c r="B13" s="41" t="n">
        <f aca="false">Historicals!D39</f>
        <v>568</v>
      </c>
      <c r="C13" s="35" t="n">
        <f aca="false">Historicals!F39+Historicals!H9+Inputs!$R$75*Historicals!H25</f>
        <v>8453.09766454352</v>
      </c>
      <c r="D13" s="35" t="n">
        <f aca="false">D5*Inputs!$R$94</f>
        <v>18442.28</v>
      </c>
      <c r="E13" s="35" t="n">
        <f aca="false">E5*Inputs!$R$95</f>
        <v>26904.032</v>
      </c>
      <c r="F13" s="35" t="n">
        <f aca="false">F5*Inputs!$R$96</f>
        <v>34050.4155</v>
      </c>
      <c r="G13" s="35" t="n">
        <f aca="false">G5*Inputs!$R$97</f>
        <v>42563.019375</v>
      </c>
    </row>
    <row r="14" customFormat="false" ht="15" hidden="false" customHeight="true" outlineLevel="0" collapsed="false">
      <c r="A14" s="13" t="s">
        <v>586</v>
      </c>
      <c r="B14" s="41" t="n">
        <f aca="false">Historicals!D40</f>
        <v>1412</v>
      </c>
      <c r="C14" s="35" t="n">
        <f aca="false">Historicals!F40+Historicals!H10-Inputs!$B$37+Inputs!$R$75*(Historicals!H10-Inputs!$B$37)/Historicals!H5</f>
        <v>5358.27742392074</v>
      </c>
      <c r="D14" s="35" t="n">
        <f aca="false">D5*Inputs!$R$98</f>
        <v>8678.72</v>
      </c>
      <c r="E14" s="35" t="n">
        <f aca="false">E5*Inputs!$R$99</f>
        <v>11770.514</v>
      </c>
      <c r="F14" s="35" t="n">
        <f aca="false">F5*Inputs!$R$100</f>
        <v>13620.1662</v>
      </c>
      <c r="G14" s="35" t="n">
        <f aca="false">G5*Inputs!$R$101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52792.4479830149</v>
      </c>
      <c r="D16" s="36" t="n">
        <f aca="false">D10+D11+D13+D14+D15</f>
        <v>165051.26</v>
      </c>
      <c r="E16" s="36" t="n">
        <f aca="false">E10+E11+E13+E14+E15</f>
        <v>167872.322</v>
      </c>
      <c r="F16" s="36" t="n">
        <f aca="false">F10+F11+F13+F14+F15</f>
        <v>185644.1641</v>
      </c>
      <c r="G16" s="36" t="n">
        <f aca="false">G10+G11+G13+G14+G15</f>
        <v>199464.4212</v>
      </c>
    </row>
    <row r="17" customFormat="false" ht="15" hidden="false" customHeight="true" outlineLevel="0" collapsed="false">
      <c r="A17" s="10" t="s">
        <v>588</v>
      </c>
      <c r="B17" s="34" t="n">
        <f aca="false">B5-B16</f>
        <v>-8060</v>
      </c>
      <c r="C17" s="34" t="n">
        <f aca="false">C5-C16</f>
        <v>1449.55201698514</v>
      </c>
      <c r="D17" s="34" t="n">
        <f aca="false">D5-D16</f>
        <v>-56567.26</v>
      </c>
      <c r="E17" s="34" t="n">
        <f aca="false">E5-E16</f>
        <v>277.878000000026</v>
      </c>
      <c r="F17" s="34" t="n">
        <f aca="false">F5-F16</f>
        <v>41358.6059</v>
      </c>
      <c r="G17" s="34" t="n">
        <f aca="false">G5-G16</f>
        <v>84289.0413</v>
      </c>
    </row>
    <row r="18" customFormat="false" ht="15" hidden="false" customHeight="true" outlineLevel="0" collapsed="false">
      <c r="A18" s="13" t="s">
        <v>589</v>
      </c>
      <c r="B18" s="16" t="n">
        <f aca="false">IFERROR(B17/B5,0)</f>
        <v>-1.75790621592148</v>
      </c>
      <c r="C18" s="16" t="n">
        <f aca="false">IFERROR(C17/C5,0)</f>
        <v>0.0267237936835873</v>
      </c>
      <c r="D18" s="16" t="n">
        <f aca="false">IFERROR(D17/D5,0)</f>
        <v>-0.521434128535084</v>
      </c>
      <c r="E18" s="16" t="n">
        <f aca="false">IFERROR(E17/E5,0)</f>
        <v>0.00165255824851844</v>
      </c>
      <c r="F18" s="16" t="n">
        <f aca="false">IFERROR(F17/F5,0)</f>
        <v>0.182194278510346</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0.553795951476716</v>
      </c>
      <c r="D19" s="16" t="n">
        <f aca="false">IFERROR(D10/D5,0)</f>
        <v>1.13143412853508</v>
      </c>
      <c r="E19" s="16" t="n">
        <f aca="false">IFERROR(E10/E5,0)</f>
        <v>0.638347441751482</v>
      </c>
      <c r="F19" s="16" t="n">
        <f aca="false">IFERROR(F10/F5,0)</f>
        <v>0.487805721489654</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1/(1+Inputs!$B$19+Inputs!$R$104)^1</f>
        <v>0.892857142857143</v>
      </c>
      <c r="E21" s="53" t="n">
        <f aca="false">1/(1+Inputs!$B$19+Inputs!$R$104)^2</f>
        <v>0.79719387755102</v>
      </c>
      <c r="F21" s="53" t="n">
        <f aca="false">1/(1+Inputs!$B$19+Inputs!$R$104)^3</f>
        <v>0.711780247813411</v>
      </c>
      <c r="G21" s="53" t="n">
        <f aca="false">1/(1+Inputs!$B$19+Inputs!$R$104)^4</f>
        <v>0.635518078404831</v>
      </c>
    </row>
    <row r="22" customFormat="false" ht="15" hidden="false" customHeight="true" outlineLevel="0" collapsed="false">
      <c r="A22" s="13" t="s">
        <v>593</v>
      </c>
      <c r="C22" s="35" t="n">
        <f aca="false">Inputs!B$69+Inputs!$B$47*Inputs!$B$46</f>
        <v>11231</v>
      </c>
      <c r="D22" s="35" t="n">
        <f aca="false">Inputs!C$69+Inputs!$B$47*(1-Inputs!$B$46)+Inputs!$B$70*Inputs!$R$109</f>
        <v>122742.5</v>
      </c>
      <c r="E22" s="35" t="n">
        <f aca="false">Inputs!D$69+Inputs!$B$70*Inputs!$R$110</f>
        <v>107338.25</v>
      </c>
      <c r="F22" s="35" t="n">
        <f aca="false">Inputs!E$69+Inputs!$B$70*Inputs!$R$111</f>
        <v>110733.25</v>
      </c>
      <c r="G22" s="35" t="n">
        <f aca="false">Inputs!F$69+Inputs!$B$70*Inputs!$R$112</f>
        <v>95455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Inputs!$R$107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30039</v>
      </c>
      <c r="D44" s="35" t="n">
        <f aca="false">D10*Inputs!$B$39</f>
        <v>122742.5</v>
      </c>
      <c r="E44" s="35" t="n">
        <f aca="false">E10*Inputs!$B$39</f>
        <v>107338.25</v>
      </c>
      <c r="F44" s="35" t="n">
        <f aca="false">F10*Inputs!$B$39</f>
        <v>110733.25</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1449.55201698514</v>
      </c>
      <c r="D50" s="35" t="n">
        <f aca="false">D17</f>
        <v>-56567.26</v>
      </c>
      <c r="E50" s="35" t="n">
        <f aca="false">E17</f>
        <v>277.878000000026</v>
      </c>
      <c r="F50" s="35" t="n">
        <f aca="false">F17</f>
        <v>41358.6059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1449.55201698514</v>
      </c>
      <c r="D53" s="36" t="n">
        <f aca="false">D50-D52</f>
        <v>-57435.132</v>
      </c>
      <c r="E53" s="36" t="n">
        <f aca="false">E50-E52</f>
        <v>-2271.49599999997</v>
      </c>
      <c r="F53" s="36" t="n">
        <f aca="false">F50-F52</f>
        <v>36539.2042</v>
      </c>
      <c r="G53" s="36" t="n">
        <f aca="false">G50-G52</f>
        <v>76632.104975</v>
      </c>
    </row>
    <row r="54" customFormat="false" ht="15" hidden="false" customHeight="true" outlineLevel="0" collapsed="false">
      <c r="A54" s="13" t="s">
        <v>620</v>
      </c>
      <c r="C54" s="16" t="n">
        <f aca="false">IFERROR(C53/C49,0)</f>
        <v>0.0267237936835873</v>
      </c>
      <c r="D54" s="16" t="n">
        <f aca="false">IFERROR(D53/D49,0)</f>
        <v>-0.529434128535084</v>
      </c>
      <c r="E54" s="16" t="n">
        <f aca="false">IFERROR(E53/E49,0)</f>
        <v>-0.0135087320740622</v>
      </c>
      <c r="F54" s="16" t="n">
        <f aca="false">IFERROR(F53/F49,0)</f>
        <v>0.160963693086212</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3400.80567882726</v>
      </c>
      <c r="E55" s="35" t="n">
        <f aca="false">MAX(0,E80-E81)*Inputs!$B$20</f>
        <v>2207.24932079795</v>
      </c>
      <c r="F55" s="35" t="n">
        <f aca="false">MAX(0,F80-F81)*Inputs!$B$20</f>
        <v>2395.4901538179</v>
      </c>
      <c r="G55" s="35" t="n">
        <f aca="false">MAX(0,G80-G81)*Inputs!$B$20</f>
        <v>3561.96251109183</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4632.58326698514</v>
      </c>
      <c r="D58" s="35" t="n">
        <f aca="false">D53+D55+D56-D57</f>
        <v>-54034.3263211727</v>
      </c>
      <c r="E58" s="35" t="n">
        <f aca="false">E53+E55+E56-E57</f>
        <v>-64.2466792020277</v>
      </c>
      <c r="F58" s="35" t="n">
        <f aca="false">F53+F55+F56-F57</f>
        <v>38934.6943538179</v>
      </c>
      <c r="G58" s="35" t="n">
        <f aca="false">G53+G55+G56-G57</f>
        <v>80194.0674860918</v>
      </c>
    </row>
    <row r="59" customFormat="false" ht="15" hidden="false" customHeight="true" outlineLevel="0" collapsed="false">
      <c r="A59" s="13" t="s">
        <v>625</v>
      </c>
      <c r="C59" s="35" t="n">
        <f aca="false">C58*Inputs!$B$58</f>
        <v>3335.4599522293</v>
      </c>
      <c r="D59" s="35" t="n">
        <f aca="false">D58*Inputs!$B$58</f>
        <v>-38904.7149512444</v>
      </c>
      <c r="E59" s="35" t="n">
        <f aca="false">E58*Inputs!$B$58</f>
        <v>-46.25760902546</v>
      </c>
      <c r="F59" s="35" t="n">
        <f aca="false">F58*Inputs!$B$58</f>
        <v>28032.9799347489</v>
      </c>
      <c r="G59" s="35" t="n">
        <f aca="false">G58*Inputs!$B$58</f>
        <v>57739.7285899861</v>
      </c>
    </row>
    <row r="60" customFormat="false" ht="15" hidden="false" customHeight="true" outlineLevel="0" collapsed="false">
      <c r="A60" s="13" t="s">
        <v>626</v>
      </c>
      <c r="C60" s="35" t="n">
        <f aca="false">Inputs!$B$60</f>
        <v>4200</v>
      </c>
      <c r="D60" s="35" t="n">
        <f aca="false">C62</f>
        <v>4200</v>
      </c>
      <c r="E60" s="35" t="n">
        <f aca="false">D62</f>
        <v>43104.7149512444</v>
      </c>
      <c r="F60" s="35" t="n">
        <f aca="false">E62</f>
        <v>43150.9725602698</v>
      </c>
      <c r="G60" s="35" t="n">
        <f aca="false">F62</f>
        <v>15117.992625521</v>
      </c>
    </row>
    <row r="61" customFormat="false" ht="15" hidden="false" customHeight="true" outlineLevel="0" collapsed="false">
      <c r="A61" s="13" t="s">
        <v>627</v>
      </c>
      <c r="C61" s="35" t="n">
        <f aca="false">IF(AND(2026=2026,Inputs!$B$61=1),0,MIN(C60,MAX(0,C59)))</f>
        <v>0</v>
      </c>
      <c r="D61" s="35" t="n">
        <f aca="false">IF(AND(2027=2026,Inputs!$B$61=1),0,MIN(D60,MAX(0,D59)))</f>
        <v>0</v>
      </c>
      <c r="E61" s="35" t="n">
        <f aca="false">IF(AND(2028=2026,Inputs!$B$61=1),0,MIN(E60,MAX(0,E59)))</f>
        <v>0</v>
      </c>
      <c r="F61" s="35" t="n">
        <f aca="false">IF(AND(2029=2026,Inputs!$B$61=1),0,MIN(F60,MAX(0,F59)))</f>
        <v>28032.9799347489</v>
      </c>
      <c r="G61" s="35" t="n">
        <f aca="false">IF(AND(2030=2026,Inputs!$B$61=1),0,MIN(G60,MAX(0,G59)))</f>
        <v>15117.992625521</v>
      </c>
    </row>
    <row r="62" customFormat="false" ht="15" hidden="false" customHeight="true" outlineLevel="0" collapsed="false">
      <c r="A62" s="13" t="s">
        <v>628</v>
      </c>
      <c r="C62" s="35" t="n">
        <f aca="false">C60-C61+MAX(0,-C59)</f>
        <v>4200</v>
      </c>
      <c r="D62" s="35" t="n">
        <f aca="false">D60-D61+MAX(0,-D59)</f>
        <v>43104.7149512444</v>
      </c>
      <c r="E62" s="35" t="n">
        <f aca="false">E60-E61+MAX(0,-E59)</f>
        <v>43150.9725602698</v>
      </c>
      <c r="F62" s="35" t="n">
        <f aca="false">F60-F61+MAX(0,-F59)</f>
        <v>15117.992625521</v>
      </c>
      <c r="G62" s="35" t="n">
        <f aca="false">G60-G61+MAX(0,-G59)</f>
        <v>0</v>
      </c>
    </row>
    <row r="63" customFormat="false" ht="15" hidden="false" customHeight="true" outlineLevel="0" collapsed="false">
      <c r="A63" s="13" t="s">
        <v>629</v>
      </c>
      <c r="C63" s="35" t="n">
        <f aca="false">MAX(0,C59-C61)*Inputs!$B$59</f>
        <v>200.127597133758</v>
      </c>
      <c r="D63" s="35" t="n">
        <f aca="false">MAX(0,D59-D61)*Inputs!$B$59</f>
        <v>0</v>
      </c>
      <c r="E63" s="35" t="n">
        <f aca="false">MAX(0,E59-E61)*Inputs!$B$59</f>
        <v>0</v>
      </c>
      <c r="F63" s="35" t="n">
        <f aca="false">MAX(0,F59-F61)*Inputs!$B$59</f>
        <v>0</v>
      </c>
      <c r="G63" s="35" t="n">
        <f aca="false">MAX(0,G59-G61)*Inputs!$B$59</f>
        <v>2557.30415786791</v>
      </c>
    </row>
    <row r="64" customFormat="false" ht="15" hidden="false" customHeight="true" outlineLevel="0" collapsed="false">
      <c r="A64" s="13" t="s">
        <v>630</v>
      </c>
      <c r="C64" s="35" t="n">
        <f aca="false">C58-C63</f>
        <v>4432.45566985139</v>
      </c>
      <c r="D64" s="35" t="n">
        <f aca="false">D58-D63</f>
        <v>-54034.3263211727</v>
      </c>
      <c r="E64" s="35" t="n">
        <f aca="false">E58-E63</f>
        <v>-64.2466792020277</v>
      </c>
      <c r="F64" s="35" t="n">
        <f aca="false">F58-F63</f>
        <v>38934.6943538179</v>
      </c>
      <c r="G64" s="35" t="n">
        <f aca="false">G58-G63</f>
        <v>77636.7633282239</v>
      </c>
    </row>
    <row r="65" customFormat="false" ht="15" hidden="false" customHeight="true" outlineLevel="0" collapsed="false">
      <c r="A65" s="13" t="s">
        <v>631</v>
      </c>
      <c r="C65" s="35" t="n">
        <f aca="false">Inputs!$B$56</f>
        <v>8200</v>
      </c>
      <c r="D65" s="35" t="n">
        <f aca="false">C67</f>
        <v>4654.03546411889</v>
      </c>
      <c r="E65" s="35" t="n">
        <f aca="false">D67</f>
        <v>58688.3617852916</v>
      </c>
      <c r="F65" s="35" t="n">
        <f aca="false">E67</f>
        <v>58752.6084644937</v>
      </c>
      <c r="G65" s="35" t="n">
        <f aca="false">F67</f>
        <v>27604.8529814394</v>
      </c>
    </row>
    <row r="66" customFormat="false" ht="15" hidden="false" customHeight="true" outlineLevel="0" collapsed="false">
      <c r="A66" s="13" t="s">
        <v>632</v>
      </c>
      <c r="C66" s="35" t="n">
        <f aca="false">MIN(C65,Inputs!$B$57*MAX(0,C64))</f>
        <v>3545.96453588111</v>
      </c>
      <c r="D66" s="35" t="n">
        <f aca="false">MIN(D65,Inputs!$B$57*MAX(0,D64))</f>
        <v>0</v>
      </c>
      <c r="E66" s="35" t="n">
        <f aca="false">MIN(E65,Inputs!$B$57*MAX(0,E64))</f>
        <v>0</v>
      </c>
      <c r="F66" s="35" t="n">
        <f aca="false">MIN(F65,Inputs!$B$57*MAX(0,F64))</f>
        <v>31147.7554830543</v>
      </c>
      <c r="G66" s="35" t="n">
        <f aca="false">MIN(G65,Inputs!$B$57*MAX(0,G64))</f>
        <v>27604.8529814394</v>
      </c>
    </row>
    <row r="67" customFormat="false" ht="15" hidden="false" customHeight="true" outlineLevel="0" collapsed="false">
      <c r="A67" s="13" t="s">
        <v>633</v>
      </c>
      <c r="C67" s="35" t="n">
        <f aca="false">C65-C66+MAX(0,-C64)</f>
        <v>4654.03546411889</v>
      </c>
      <c r="D67" s="35" t="n">
        <f aca="false">D65-D66+MAX(0,-D64)</f>
        <v>58688.3617852916</v>
      </c>
      <c r="E67" s="35" t="n">
        <f aca="false">E65-E66+MAX(0,-E64)</f>
        <v>58752.6084644937</v>
      </c>
      <c r="F67" s="35" t="n">
        <f aca="false">F65-F66+MAX(0,-F64)</f>
        <v>27604.8529814394</v>
      </c>
      <c r="G67" s="35" t="n">
        <f aca="false">G65-G66+MAX(0,-G64)</f>
        <v>0</v>
      </c>
    </row>
    <row r="68" customFormat="false" ht="15" hidden="false" customHeight="true" outlineLevel="0" collapsed="false">
      <c r="A68" s="13" t="s">
        <v>634</v>
      </c>
      <c r="C68" s="35" t="n">
        <f aca="false">MAX(0,C64-C66)*Inputs!$B$55</f>
        <v>186.163138133758</v>
      </c>
      <c r="D68" s="35" t="n">
        <f aca="false">MAX(0,D64-D66)*Inputs!$B$55</f>
        <v>0</v>
      </c>
      <c r="E68" s="35" t="n">
        <f aca="false">MAX(0,E64-E66)*Inputs!$B$55</f>
        <v>0</v>
      </c>
      <c r="F68" s="35" t="n">
        <f aca="false">MAX(0,F64-F66)*Inputs!$B$55</f>
        <v>1635.25716286035</v>
      </c>
      <c r="G68" s="35" t="n">
        <f aca="false">MAX(0,G64-G66)*Inputs!$B$55</f>
        <v>10506.7011728248</v>
      </c>
    </row>
    <row r="69" customFormat="false" ht="15" hidden="false" customHeight="true" outlineLevel="0" collapsed="false">
      <c r="A69" s="10" t="s">
        <v>635</v>
      </c>
      <c r="C69" s="36" t="n">
        <f aca="false">IF(Inputs!$R$105=0,MAX(0,C53+C55)*Inputs!B$66,IF(Inputs!$R$105=2,MAX(0,C58)*Inputs!$R$106,C63+C68))</f>
        <v>386.290735267516</v>
      </c>
      <c r="D69" s="36" t="n">
        <f aca="false">IF(Inputs!$R$105=0,MAX(0,D53+D55)*Inputs!C$66,IF(Inputs!$R$105=2,MAX(0,D58)*Inputs!$R$106,D63+D68))</f>
        <v>0</v>
      </c>
      <c r="E69" s="36" t="n">
        <f aca="false">IF(Inputs!$R$105=0,MAX(0,E53+E55)*Inputs!D$66,IF(Inputs!$R$105=2,MAX(0,E58)*Inputs!$R$106,E63+E68))</f>
        <v>0</v>
      </c>
      <c r="F69" s="36" t="n">
        <f aca="false">IF(Inputs!$R$105=0,MAX(0,F53+F55)*Inputs!E$66,IF(Inputs!$R$105=2,MAX(0,F58)*Inputs!$R$106,F63+F68))</f>
        <v>1635.25716286035</v>
      </c>
      <c r="G69" s="36" t="n">
        <f aca="false">IF(Inputs!$R$105=0,MAX(0,G53+G55)*Inputs!F$66,IF(Inputs!$R$105=2,MAX(0,G58)*Inputs!$R$106,G63+G68))</f>
        <v>13064.0053306927</v>
      </c>
    </row>
    <row r="70" customFormat="false" ht="15" hidden="false" customHeight="true" outlineLevel="0" collapsed="false">
      <c r="A70" s="13" t="s">
        <v>636</v>
      </c>
      <c r="C70" s="16" t="n">
        <f aca="false">IF(C58&gt;0,MIN(1,C69/C58),0)</f>
        <v>0.0833856</v>
      </c>
      <c r="D70" s="16" t="n">
        <f aca="false">IF(D58&gt;0,MIN(1,D69/D58),0)</f>
        <v>0</v>
      </c>
      <c r="E70" s="16" t="n">
        <f aca="false">IF(E58&gt;0,MIN(1,E69/E58),0)</f>
        <v>0</v>
      </c>
      <c r="F70" s="16" t="n">
        <f aca="false">IF(F58&gt;0,MIN(1,F69/F58),0)</f>
        <v>0.042</v>
      </c>
      <c r="G70" s="16" t="n">
        <f aca="false">IF(G58&gt;0,MIN(1,G69/G58),0)</f>
        <v>0.162904884865185</v>
      </c>
    </row>
    <row r="71" customFormat="false" ht="15" hidden="false" customHeight="true" outlineLevel="0" collapsed="false">
      <c r="A71" s="13" t="s">
        <v>637</v>
      </c>
      <c r="C71" s="35" t="n">
        <f aca="false">C53+C55-C69</f>
        <v>4246.29253171763</v>
      </c>
      <c r="D71" s="35" t="n">
        <f aca="false">D53+D55-D69</f>
        <v>-54034.3263211727</v>
      </c>
      <c r="E71" s="35" t="n">
        <f aca="false">E53+E55-E69</f>
        <v>-64.2466792020277</v>
      </c>
      <c r="F71" s="35" t="n">
        <f aca="false">F53+F55-F69</f>
        <v>37299.4371909575</v>
      </c>
      <c r="G71" s="35" t="n">
        <f aca="false">G53+G55-G69</f>
        <v>67130.0621553992</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9285.22715309059</v>
      </c>
      <c r="D75" s="36" t="n">
        <f aca="false">D53+D72+D52+D55-D69-D51+D73+D74</f>
        <v>-47742.2543211727</v>
      </c>
      <c r="E75" s="36" t="n">
        <f aca="false">E53+E72+E52+E55-E69-E51+E73+E74</f>
        <v>7529.63332079797</v>
      </c>
      <c r="F75" s="36" t="n">
        <f aca="false">F53+F72+F52+F55-F69-F51+F73+F74</f>
        <v>46658.8942909575</v>
      </c>
      <c r="G75" s="36" t="n">
        <f aca="false">G53+G72+G52+G55-G69-G51+G73+G74</f>
        <v>77624.5331053992</v>
      </c>
    </row>
    <row r="76" customFormat="false" ht="15" hidden="false" customHeight="true" outlineLevel="0" collapsed="false">
      <c r="A76" s="10" t="s">
        <v>642</v>
      </c>
      <c r="C76" s="36" t="n">
        <f aca="false">C53+C52-(C69-C55*C70)-C51+C73+C74</f>
        <v>-298.579747682372</v>
      </c>
      <c r="D76" s="36" t="n">
        <f aca="false">D53+D52-(D69-D55*D70)-D51+D73+D74</f>
        <v>-60906.62</v>
      </c>
      <c r="E76" s="36" t="n">
        <f aca="false">E53+E52-(E69-E55*E70)-E51+E73+E74</f>
        <v>-8129.63199999997</v>
      </c>
      <c r="F76" s="36" t="n">
        <f aca="false">F53+F52-(F69-F55*F70)-F51+F73+F74</f>
        <v>28473.8208236</v>
      </c>
      <c r="G76" s="36" t="n">
        <f aca="false">G53+G52-(G69-G55*G70)-G51+G73+G74</f>
        <v>57617.6239370709</v>
      </c>
    </row>
    <row r="77" customFormat="false" ht="15" hidden="false" customHeight="true" outlineLevel="0" collapsed="false">
      <c r="A77" s="13" t="s">
        <v>643</v>
      </c>
      <c r="C77" s="16" t="n">
        <f aca="false">IFERROR(C76/C49,0)</f>
        <v>-0.0055045858869948</v>
      </c>
      <c r="D77" s="16" t="n">
        <f aca="false">IFERROR(D76/D49,0)</f>
        <v>-0.561434128535084</v>
      </c>
      <c r="E77" s="16" t="n">
        <f aca="false">IFERROR(E76/E49,0)</f>
        <v>-0.0483474417514816</v>
      </c>
      <c r="F77" s="16" t="n">
        <f aca="false">IFERROR(F76/F49,0)</f>
        <v>0.125433803400725</v>
      </c>
      <c r="G77" s="16" t="n">
        <f aca="false">IFERROR(G76/G49,0)</f>
        <v>0.203055227694608</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136032.227153091</v>
      </c>
      <c r="E80" s="35" t="n">
        <f aca="false">D85</f>
        <v>88289.9728319178</v>
      </c>
      <c r="F80" s="35" t="n">
        <f aca="false">E85</f>
        <v>95819.6061527158</v>
      </c>
      <c r="G80" s="35" t="n">
        <f aca="false">F85</f>
        <v>142478.500443673</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4187.22715309059</v>
      </c>
      <c r="D82" s="35" t="n">
        <f aca="false">D75</f>
        <v>-47742.2543211727</v>
      </c>
      <c r="E82" s="35" t="n">
        <f aca="false">E75</f>
        <v>7529.63332079797</v>
      </c>
      <c r="F82" s="35" t="n">
        <f aca="false">F75</f>
        <v>46658.8942909575</v>
      </c>
      <c r="G82" s="35" t="n">
        <f aca="false">G75</f>
        <v>77624.5331053992</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136032.227153091</v>
      </c>
      <c r="D85" s="36" t="n">
        <f aca="false">D80+D82+D83+D84</f>
        <v>88289.9728319178</v>
      </c>
      <c r="E85" s="36" t="n">
        <f aca="false">E80+E82+E83+E84</f>
        <v>95819.6061527158</v>
      </c>
      <c r="F85" s="36" t="n">
        <f aca="false">F80+F82+F83+F84</f>
        <v>142478.500443673</v>
      </c>
      <c r="G85" s="36" t="n">
        <f aca="false">G80+G82+G83+G84</f>
        <v>220103.033549073</v>
      </c>
    </row>
    <row r="86" customFormat="false" ht="15" hidden="false" customHeight="true" outlineLevel="0" collapsed="false">
      <c r="A86" s="13" t="s">
        <v>653</v>
      </c>
      <c r="C86" s="35" t="n">
        <f aca="false">MIN(C80-C81,C85)</f>
        <v>131845</v>
      </c>
      <c r="D86" s="35" t="n">
        <f aca="false">MIN(D80-D81,D85)</f>
        <v>88289.9728319178</v>
      </c>
      <c r="E86" s="35" t="n">
        <f aca="false">MIN(E80-E81,E85)</f>
        <v>88289.9728319178</v>
      </c>
      <c r="F86" s="35" t="n">
        <f aca="false">MIN(F80-F81,F85)</f>
        <v>95819.6061527158</v>
      </c>
      <c r="G86" s="35" t="n">
        <f aca="false">MIN(G80-G81,G85)</f>
        <v>142478.500443673</v>
      </c>
    </row>
    <row r="87" customFormat="false" ht="15" hidden="false" customHeight="true" outlineLevel="0" collapsed="false">
      <c r="A87" s="13" t="s">
        <v>654</v>
      </c>
      <c r="C87" s="35" t="n">
        <f aca="false">C86-Inputs!$B$29</f>
        <v>126845</v>
      </c>
      <c r="D87" s="35" t="n">
        <f aca="false">D86-Inputs!$B$29</f>
        <v>83289.9728319178</v>
      </c>
      <c r="E87" s="35" t="n">
        <f aca="false">E86-Inputs!$B$29</f>
        <v>83289.9728319178</v>
      </c>
      <c r="F87" s="35" t="n">
        <f aca="false">F86-Inputs!$B$29</f>
        <v>90819.6061527158</v>
      </c>
      <c r="G87" s="35" t="n">
        <f aca="false">G86-Inputs!$B$29</f>
        <v>137478.500443673</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136032.227153091</v>
      </c>
      <c r="D100" s="35" t="n">
        <f aca="false">D85+SUM($C97:D97)+SUM($C98:D98)-SUM($C99:D99)</f>
        <v>88289.9728319178</v>
      </c>
      <c r="E100" s="35" t="n">
        <f aca="false">E85+SUM($C97:E97)+SUM($C98:E98)-SUM($C99:E99)</f>
        <v>95819.6061527158</v>
      </c>
      <c r="F100" s="35" t="n">
        <f aca="false">F85+SUM($C97:F97)+SUM($C98:F98)-SUM($C99:F99)</f>
        <v>142478.500443673</v>
      </c>
      <c r="G100" s="35" t="n">
        <f aca="false">G85+SUM($C97:G97)+SUM($C98:G98)-SUM($C99:G99)</f>
        <v>220103.033549073</v>
      </c>
    </row>
    <row r="101" customFormat="false" ht="15" hidden="false" customHeight="true" outlineLevel="0" collapsed="false">
      <c r="A101" s="13" t="s">
        <v>668</v>
      </c>
      <c r="C101" s="35" t="n">
        <f aca="false">MIN(C80-C81+0+C97,C100)</f>
        <v>131845</v>
      </c>
      <c r="D101" s="35" t="n">
        <f aca="false">MIN(D80-D81+SUM($C97:C97)+SUM($C98:C98)-SUM($C99:C99)+D97,D100)</f>
        <v>88289.9728319178</v>
      </c>
      <c r="E101" s="35" t="n">
        <f aca="false">MIN(E80-E81+SUM($C97:D97)+SUM($C98:D98)-SUM($C99:D99)+E97,E100)</f>
        <v>88289.9728319178</v>
      </c>
      <c r="F101" s="35" t="n">
        <f aca="false">MIN(F80-F81+SUM($C97:E97)+SUM($C98:E98)-SUM($C99:E99)+F97,F100)</f>
        <v>95819.6061527158</v>
      </c>
      <c r="G101" s="35" t="n">
        <f aca="false">MIN(G80-G81+SUM($C97:F97)+SUM($C98:F98)-SUM($C99:F99)+G97,G100)</f>
        <v>142478.500443673</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1449.55201698514</v>
      </c>
      <c r="D106" s="35" t="n">
        <f aca="false">D17+D35</f>
        <v>-55786.1752</v>
      </c>
      <c r="E106" s="35" t="n">
        <f aca="false">E17+E35</f>
        <v>3304.58160000003</v>
      </c>
      <c r="F106" s="35" t="n">
        <f aca="false">F17+F35</f>
        <v>49530.70562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1449.55201698514</v>
      </c>
      <c r="D109" s="36" t="n">
        <f aca="false">D106-D108</f>
        <v>-56669.668896</v>
      </c>
      <c r="E109" s="36" t="n">
        <f aca="false">E106-E108</f>
        <v>663.918314000025</v>
      </c>
      <c r="F109" s="36" t="n">
        <f aca="false">F106-F108</f>
        <v>44415.712141</v>
      </c>
      <c r="G109" s="36" t="n">
        <f aca="false">G106-G108</f>
        <v>91276.132996625</v>
      </c>
    </row>
    <row r="110" customFormat="false" ht="15" hidden="false" customHeight="true" outlineLevel="0" collapsed="false">
      <c r="A110" s="13" t="s">
        <v>620</v>
      </c>
      <c r="C110" s="16" t="n">
        <f aca="false">IFERROR(C109/C105,0)</f>
        <v>0.0267237936835873</v>
      </c>
      <c r="D110" s="16" t="n">
        <f aca="false">IFERROR(D109/D105,0)</f>
        <v>-0.513141580093402</v>
      </c>
      <c r="E110" s="16" t="n">
        <f aca="false">IFERROR(E109/E105,0)</f>
        <v>0.00377833942596301</v>
      </c>
      <c r="F110" s="16" t="n">
        <f aca="false">IFERROR(F109/F105,0)</f>
        <v>0.179506002338145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3400.80567882726</v>
      </c>
      <c r="E111" s="35" t="n">
        <f aca="false">MAX(0,E136-E137)*Inputs!$B$20</f>
        <v>2224.82372879795</v>
      </c>
      <c r="F111" s="35" t="n">
        <f aca="false">MAX(0,F136-F137)*Inputs!$B$20</f>
        <v>2476.67988412296</v>
      </c>
      <c r="G111" s="35" t="n">
        <f aca="false">MAX(0,G136-G137)*Inputs!$B$20</f>
        <v>3815.59108347465</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4632.58326698514</v>
      </c>
      <c r="D114" s="35" t="n">
        <f aca="false">D109+D111+D112-D113</f>
        <v>-53268.8632171727</v>
      </c>
      <c r="E114" s="35" t="n">
        <f aca="false">E109+E111+E112-E113</f>
        <v>2888.74204279797</v>
      </c>
      <c r="F114" s="35" t="n">
        <f aca="false">F109+F111+F112-F113</f>
        <v>46892.392025123</v>
      </c>
      <c r="G114" s="35" t="n">
        <f aca="false">G109+G111+G112-G113</f>
        <v>95091.7240800997</v>
      </c>
    </row>
    <row r="115" customFormat="false" ht="15" hidden="false" customHeight="true" outlineLevel="0" collapsed="false">
      <c r="A115" s="13" t="s">
        <v>625</v>
      </c>
      <c r="C115" s="35" t="n">
        <f aca="false">C114*Inputs!$B$58</f>
        <v>3335.4599522293</v>
      </c>
      <c r="D115" s="35" t="n">
        <f aca="false">D114*Inputs!$B$58</f>
        <v>-38353.5815163644</v>
      </c>
      <c r="E115" s="35" t="n">
        <f aca="false">E114*Inputs!$B$58</f>
        <v>2079.89427081454</v>
      </c>
      <c r="F115" s="35" t="n">
        <f aca="false">F114*Inputs!$B$58</f>
        <v>33762.5222580885</v>
      </c>
      <c r="G115" s="35" t="n">
        <f aca="false">G114*Inputs!$B$58</f>
        <v>68466.0413376718</v>
      </c>
    </row>
    <row r="116" customFormat="false" ht="15" hidden="false" customHeight="true" outlineLevel="0" collapsed="false">
      <c r="A116" s="13" t="s">
        <v>626</v>
      </c>
      <c r="C116" s="35" t="n">
        <f aca="false">Inputs!$B$60</f>
        <v>4200</v>
      </c>
      <c r="D116" s="35" t="n">
        <f aca="false">C118</f>
        <v>4200</v>
      </c>
      <c r="E116" s="35" t="n">
        <f aca="false">D118</f>
        <v>42553.5815163644</v>
      </c>
      <c r="F116" s="35" t="n">
        <f aca="false">E118</f>
        <v>40473.6872455498</v>
      </c>
      <c r="G116" s="35" t="n">
        <f aca="false">F118</f>
        <v>6711.1649874613</v>
      </c>
    </row>
    <row r="117" customFormat="false" ht="15" hidden="false" customHeight="true" outlineLevel="0" collapsed="false">
      <c r="A117" s="13" t="s">
        <v>627</v>
      </c>
      <c r="C117" s="35" t="n">
        <f aca="false">IF(AND(2026=2026,Inputs!$B$61=1),0,MIN(C116,MAX(0,C115)))</f>
        <v>0</v>
      </c>
      <c r="D117" s="35" t="n">
        <f aca="false">IF(AND(2027=2026,Inputs!$B$61=1),0,MIN(D116,MAX(0,D115)))</f>
        <v>0</v>
      </c>
      <c r="E117" s="35" t="n">
        <f aca="false">IF(AND(2028=2026,Inputs!$B$61=1),0,MIN(E116,MAX(0,E115)))</f>
        <v>2079.89427081454</v>
      </c>
      <c r="F117" s="35" t="n">
        <f aca="false">IF(AND(2029=2026,Inputs!$B$61=1),0,MIN(F116,MAX(0,F115)))</f>
        <v>33762.5222580885</v>
      </c>
      <c r="G117" s="35" t="n">
        <f aca="false">IF(AND(2030=2026,Inputs!$B$61=1),0,MIN(G116,MAX(0,G115)))</f>
        <v>6711.1649874613</v>
      </c>
    </row>
    <row r="118" customFormat="false" ht="15" hidden="false" customHeight="true" outlineLevel="0" collapsed="false">
      <c r="A118" s="13" t="s">
        <v>628</v>
      </c>
      <c r="C118" s="35" t="n">
        <f aca="false">C116-C117+MAX(0,-C115)</f>
        <v>4200</v>
      </c>
      <c r="D118" s="35" t="n">
        <f aca="false">D116-D117+MAX(0,-D115)</f>
        <v>42553.5815163644</v>
      </c>
      <c r="E118" s="35" t="n">
        <f aca="false">E116-E117+MAX(0,-E115)</f>
        <v>40473.6872455498</v>
      </c>
      <c r="F118" s="35" t="n">
        <f aca="false">F116-F117+MAX(0,-F115)</f>
        <v>6711.1649874613</v>
      </c>
      <c r="G118" s="35" t="n">
        <f aca="false">G116-G117+MAX(0,-G115)</f>
        <v>0</v>
      </c>
    </row>
    <row r="119" customFormat="false" ht="15" hidden="false" customHeight="true" outlineLevel="0" collapsed="false">
      <c r="A119" s="13" t="s">
        <v>629</v>
      </c>
      <c r="C119" s="35" t="n">
        <f aca="false">MAX(0,C115-C117)*Inputs!$B$59</f>
        <v>200.127597133758</v>
      </c>
      <c r="D119" s="35" t="n">
        <f aca="false">MAX(0,D115-D117)*Inputs!$B$59</f>
        <v>0</v>
      </c>
      <c r="E119" s="35" t="n">
        <f aca="false">MAX(0,E115-E117)*Inputs!$B$59</f>
        <v>0</v>
      </c>
      <c r="F119" s="35" t="n">
        <f aca="false">MAX(0,F115-F117)*Inputs!$B$59</f>
        <v>0</v>
      </c>
      <c r="G119" s="35" t="n">
        <f aca="false">MAX(0,G115-G117)*Inputs!$B$59</f>
        <v>3705.29258101263</v>
      </c>
    </row>
    <row r="120" customFormat="false" ht="15" hidden="false" customHeight="true" outlineLevel="0" collapsed="false">
      <c r="A120" s="13" t="s">
        <v>630</v>
      </c>
      <c r="C120" s="35" t="n">
        <f aca="false">C114-C119</f>
        <v>4432.45566985139</v>
      </c>
      <c r="D120" s="35" t="n">
        <f aca="false">D114-D119</f>
        <v>-53268.8632171727</v>
      </c>
      <c r="E120" s="35" t="n">
        <f aca="false">E114-E119</f>
        <v>2888.74204279797</v>
      </c>
      <c r="F120" s="35" t="n">
        <f aca="false">F114-F119</f>
        <v>46892.392025123</v>
      </c>
      <c r="G120" s="35" t="n">
        <f aca="false">G114-G119</f>
        <v>91386.431499087</v>
      </c>
    </row>
    <row r="121" customFormat="false" ht="15" hidden="false" customHeight="true" outlineLevel="0" collapsed="false">
      <c r="A121" s="13" t="s">
        <v>631</v>
      </c>
      <c r="C121" s="35" t="n">
        <f aca="false">Inputs!$B$56</f>
        <v>8200</v>
      </c>
      <c r="D121" s="35" t="n">
        <f aca="false">C123</f>
        <v>4654.03546411889</v>
      </c>
      <c r="E121" s="35" t="n">
        <f aca="false">D123</f>
        <v>57922.8986812916</v>
      </c>
      <c r="F121" s="35" t="n">
        <f aca="false">E123</f>
        <v>55611.9050470533</v>
      </c>
      <c r="G121" s="35" t="n">
        <f aca="false">F123</f>
        <v>18097.9914269549</v>
      </c>
    </row>
    <row r="122" customFormat="false" ht="15" hidden="false" customHeight="true" outlineLevel="0" collapsed="false">
      <c r="A122" s="13" t="s">
        <v>632</v>
      </c>
      <c r="C122" s="35" t="n">
        <f aca="false">MIN(C121,Inputs!$B$57*MAX(0,C120))</f>
        <v>3545.96453588111</v>
      </c>
      <c r="D122" s="35" t="n">
        <f aca="false">MIN(D121,Inputs!$B$57*MAX(0,D120))</f>
        <v>0</v>
      </c>
      <c r="E122" s="35" t="n">
        <f aca="false">MIN(E121,Inputs!$B$57*MAX(0,E120))</f>
        <v>2310.99363423838</v>
      </c>
      <c r="F122" s="35" t="n">
        <f aca="false">MIN(F121,Inputs!$B$57*MAX(0,F120))</f>
        <v>37513.9136200984</v>
      </c>
      <c r="G122" s="35" t="n">
        <f aca="false">MIN(G121,Inputs!$B$57*MAX(0,G120))</f>
        <v>18097.9914269549</v>
      </c>
    </row>
    <row r="123" customFormat="false" ht="15" hidden="false" customHeight="true" outlineLevel="0" collapsed="false">
      <c r="A123" s="13" t="s">
        <v>633</v>
      </c>
      <c r="C123" s="35" t="n">
        <f aca="false">C121-C122+MAX(0,-C120)</f>
        <v>4654.03546411889</v>
      </c>
      <c r="D123" s="35" t="n">
        <f aca="false">D121-D122+MAX(0,-D120)</f>
        <v>57922.8986812916</v>
      </c>
      <c r="E123" s="35" t="n">
        <f aca="false">E121-E122+MAX(0,-E120)</f>
        <v>55611.9050470533</v>
      </c>
      <c r="F123" s="35" t="n">
        <f aca="false">F121-F122+MAX(0,-F120)</f>
        <v>18097.9914269549</v>
      </c>
      <c r="G123" s="35" t="n">
        <f aca="false">G121-G122+MAX(0,-G120)</f>
        <v>0</v>
      </c>
    </row>
    <row r="124" customFormat="false" ht="15" hidden="false" customHeight="true" outlineLevel="0" collapsed="false">
      <c r="A124" s="13" t="s">
        <v>634</v>
      </c>
      <c r="C124" s="35" t="n">
        <f aca="false">MAX(0,C120-C122)*Inputs!$B$55</f>
        <v>186.163138133758</v>
      </c>
      <c r="D124" s="35" t="n">
        <f aca="false">MAX(0,D120-D122)*Inputs!$B$55</f>
        <v>0</v>
      </c>
      <c r="E124" s="35" t="n">
        <f aca="false">MAX(0,E120-E122)*Inputs!$B$55</f>
        <v>121.327165797515</v>
      </c>
      <c r="F124" s="35" t="n">
        <f aca="false">MAX(0,F120-F122)*Inputs!$B$55</f>
        <v>1969.48046505516</v>
      </c>
      <c r="G124" s="35" t="n">
        <f aca="false">MAX(0,G120-G122)*Inputs!$B$55</f>
        <v>15390.5724151478</v>
      </c>
    </row>
    <row r="125" customFormat="false" ht="15" hidden="false" customHeight="true" outlineLevel="0" collapsed="false">
      <c r="A125" s="10" t="s">
        <v>635</v>
      </c>
      <c r="C125" s="36" t="n">
        <f aca="false">IF(Inputs!$R$105=0,MAX(0,C109+C111)*Inputs!B$66,IF(Inputs!$R$105=2,MAX(0,C114)*Inputs!$R$106,C119+C124))</f>
        <v>386.290735267516</v>
      </c>
      <c r="D125" s="36" t="n">
        <f aca="false">IF(Inputs!$R$105=0,MAX(0,D109+D111)*Inputs!C$66,IF(Inputs!$R$105=2,MAX(0,D114)*Inputs!$R$106,D119+D124))</f>
        <v>0</v>
      </c>
      <c r="E125" s="36" t="n">
        <f aca="false">IF(Inputs!$R$105=0,MAX(0,E109+E111)*Inputs!D$66,IF(Inputs!$R$105=2,MAX(0,E114)*Inputs!$R$106,E119+E124))</f>
        <v>121.327165797515</v>
      </c>
      <c r="F125" s="36" t="n">
        <f aca="false">IF(Inputs!$R$105=0,MAX(0,F109+F111)*Inputs!E$66,IF(Inputs!$R$105=2,MAX(0,F114)*Inputs!$R$106,F119+F124))</f>
        <v>1969.48046505516</v>
      </c>
      <c r="G125" s="36" t="n">
        <f aca="false">IF(Inputs!$R$105=0,MAX(0,G109+G111)*Inputs!F$66,IF(Inputs!$R$105=2,MAX(0,G114)*Inputs!$R$106,G119+G124))</f>
        <v>19095.8649961604</v>
      </c>
    </row>
    <row r="126" customFormat="false" ht="15" hidden="false" customHeight="true" outlineLevel="0" collapsed="false">
      <c r="A126" s="13" t="s">
        <v>636</v>
      </c>
      <c r="C126" s="16" t="n">
        <f aca="false">IF(C114&gt;0,MIN(1,C125/C114),0)</f>
        <v>0.0833856</v>
      </c>
      <c r="D126" s="16" t="n">
        <f aca="false">IF(D114&gt;0,MIN(1,D125/D114),0)</f>
        <v>0</v>
      </c>
      <c r="E126" s="16" t="n">
        <f aca="false">IF(E114&gt;0,MIN(1,E125/E114),0)</f>
        <v>0.042</v>
      </c>
      <c r="F126" s="16" t="n">
        <f aca="false">IF(F114&gt;0,MIN(1,F125/F114),0)</f>
        <v>0.042</v>
      </c>
      <c r="G126" s="16" t="n">
        <f aca="false">IF(G114&gt;0,MIN(1,G125/G114),0)</f>
        <v>0.200815214792774</v>
      </c>
    </row>
    <row r="127" customFormat="false" ht="15" hidden="false" customHeight="true" outlineLevel="0" collapsed="false">
      <c r="A127" s="13" t="s">
        <v>637</v>
      </c>
      <c r="C127" s="35" t="n">
        <f aca="false">C109+C111-C125</f>
        <v>4246.29253171763</v>
      </c>
      <c r="D127" s="35" t="n">
        <f aca="false">D109+D111-D125</f>
        <v>-53268.8632171727</v>
      </c>
      <c r="E127" s="35" t="n">
        <f aca="false">E109+E111-E125</f>
        <v>2767.41487700046</v>
      </c>
      <c r="F127" s="35" t="n">
        <f aca="false">F109+F111-F125</f>
        <v>44922.9115600678</v>
      </c>
      <c r="G127" s="35" t="n">
        <f aca="false">G109+G111-G125</f>
        <v>75995.8590839393</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9285.22715309059</v>
      </c>
      <c r="D131" s="36" t="n">
        <f aca="false">D109+D128+D108+D111-D125-D107+D129+D130</f>
        <v>-47039.2780011727</v>
      </c>
      <c r="E131" s="36" t="n">
        <f aca="false">E109+E128+E108+E111-E125-E107+E129+E130</f>
        <v>10074.2462130005</v>
      </c>
      <c r="F131" s="36" t="n">
        <f aca="false">F109+F128+F108+F111-F125-F107+F129+F130</f>
        <v>53556.4479740678</v>
      </c>
      <c r="G131" s="36" t="n">
        <f aca="false">G109+G128+G108+G111-G125-G107+G129+G130</f>
        <v>85253.6531154393</v>
      </c>
    </row>
    <row r="132" customFormat="false" ht="15" hidden="false" customHeight="true" outlineLevel="0" collapsed="false">
      <c r="A132" s="10" t="s">
        <v>642</v>
      </c>
      <c r="C132" s="36" t="n">
        <f aca="false">C109+C108-(C125-C111*C126)-C107+C129+C130</f>
        <v>-298.579747682372</v>
      </c>
      <c r="D132" s="36" t="n">
        <f aca="false">D109+D108-(D125-D111*D126)-D107+D129+D130</f>
        <v>-60203.64368</v>
      </c>
      <c r="E132" s="36" t="n">
        <f aca="false">E109+E108-(E125-E111*E126)-E107+E129+E130</f>
        <v>-5509.15091918798</v>
      </c>
      <c r="F132" s="36" t="n">
        <f aca="false">F109+F108-(F125-F111*F126)-F107+F129+F130</f>
        <v>35293.594745078</v>
      </c>
      <c r="G132" s="36" t="n">
        <f aca="false">G109+G108-(G125-G111*G126)-G107+G129+G130</f>
        <v>65179.083024954</v>
      </c>
    </row>
    <row r="133" customFormat="false" ht="15" hidden="false" customHeight="true" outlineLevel="0" collapsed="false">
      <c r="A133" s="13" t="s">
        <v>643</v>
      </c>
      <c r="C133" s="16" t="n">
        <f aca="false">IFERROR(C132/C105,0)</f>
        <v>-0.0055045858869948</v>
      </c>
      <c r="D133" s="16" t="n">
        <f aca="false">IFERROR(D132/D105,0)</f>
        <v>-0.545141580093402</v>
      </c>
      <c r="E133" s="16" t="n">
        <f aca="false">IFERROR(E132/E105,0)</f>
        <v>-0.0313524144199876</v>
      </c>
      <c r="F133" s="16" t="n">
        <f aca="false">IFERROR(F132/F105,0)</f>
        <v>0.142638985067253</v>
      </c>
      <c r="G133" s="16" t="n">
        <f aca="false">IFERROR(G132/G105,0)</f>
        <v>0.202381688532879</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136032.227153091</v>
      </c>
      <c r="E136" s="35" t="n">
        <f aca="false">D141</f>
        <v>88992.9491519178</v>
      </c>
      <c r="F136" s="35" t="n">
        <f aca="false">E141</f>
        <v>99067.1953649183</v>
      </c>
      <c r="G136" s="35" t="n">
        <f aca="false">F141</f>
        <v>152623.643338986</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4187.22715309059</v>
      </c>
      <c r="D138" s="35" t="n">
        <f aca="false">D131</f>
        <v>-47039.2780011727</v>
      </c>
      <c r="E138" s="35" t="n">
        <f aca="false">E131</f>
        <v>10074.2462130005</v>
      </c>
      <c r="F138" s="35" t="n">
        <f aca="false">F131</f>
        <v>53556.4479740678</v>
      </c>
      <c r="G138" s="35" t="n">
        <f aca="false">G131</f>
        <v>85253.6531154393</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136032.227153091</v>
      </c>
      <c r="D141" s="36" t="n">
        <f aca="false">D136+D138+D139+D140</f>
        <v>88992.9491519178</v>
      </c>
      <c r="E141" s="36" t="n">
        <f aca="false">E136+E138+E139+E140</f>
        <v>99067.1953649183</v>
      </c>
      <c r="F141" s="36" t="n">
        <f aca="false">F136+F138+F139+F140</f>
        <v>152623.643338986</v>
      </c>
      <c r="G141" s="36" t="n">
        <f aca="false">G136+G138+G139+G140</f>
        <v>237877.296454425</v>
      </c>
    </row>
    <row r="142" customFormat="false" ht="15" hidden="false" customHeight="true" outlineLevel="0" collapsed="false">
      <c r="A142" s="13" t="s">
        <v>653</v>
      </c>
      <c r="C142" s="35" t="n">
        <f aca="false">MIN(C136-C137,C141)</f>
        <v>131845</v>
      </c>
      <c r="D142" s="35" t="n">
        <f aca="false">MIN(D136-D137,D141)</f>
        <v>88992.9491519178</v>
      </c>
      <c r="E142" s="35" t="n">
        <f aca="false">MIN(E136-E137,E141)</f>
        <v>88992.9491519178</v>
      </c>
      <c r="F142" s="35" t="n">
        <f aca="false">MIN(F136-F137,F141)</f>
        <v>99067.1953649183</v>
      </c>
      <c r="G142" s="35" t="n">
        <f aca="false">MIN(G136-G137,G141)</f>
        <v>152623.643338986</v>
      </c>
    </row>
    <row r="143" customFormat="false" ht="15" hidden="false" customHeight="true" outlineLevel="0" collapsed="false">
      <c r="A143" s="13" t="s">
        <v>654</v>
      </c>
      <c r="C143" s="35" t="n">
        <f aca="false">C142-Inputs!$B$29</f>
        <v>126845</v>
      </c>
      <c r="D143" s="35" t="n">
        <f aca="false">D142-Inputs!$B$29</f>
        <v>83992.9491519178</v>
      </c>
      <c r="E143" s="35" t="n">
        <f aca="false">E142-Inputs!$B$29</f>
        <v>83992.9491519178</v>
      </c>
      <c r="F143" s="35" t="n">
        <f aca="false">F142-Inputs!$B$29</f>
        <v>94067.1953649183</v>
      </c>
      <c r="G143" s="35" t="n">
        <f aca="false">G142-Inputs!$B$29</f>
        <v>147623.643338986</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136032.227153091</v>
      </c>
      <c r="D156" s="35" t="n">
        <f aca="false">D141+SUM($C153:D153)+SUM($C154:D154)-SUM($C155:D155)</f>
        <v>88992.9491519178</v>
      </c>
      <c r="E156" s="35" t="n">
        <f aca="false">E141+SUM($C153:E153)+SUM($C154:E154)-SUM($C155:E155)</f>
        <v>99067.1953649183</v>
      </c>
      <c r="F156" s="35" t="n">
        <f aca="false">F141+SUM($C153:F153)+SUM($C154:F154)-SUM($C155:F155)</f>
        <v>152623.643338986</v>
      </c>
      <c r="G156" s="35" t="n">
        <f aca="false">G141+SUM($C153:G153)+SUM($C154:G154)-SUM($C155:G155)</f>
        <v>237877.296454425</v>
      </c>
    </row>
    <row r="157" customFormat="false" ht="15" hidden="false" customHeight="true" outlineLevel="0" collapsed="false">
      <c r="A157" s="13" t="s">
        <v>668</v>
      </c>
      <c r="C157" s="35" t="n">
        <f aca="false">MIN(C136-C137+0+C153,C156)</f>
        <v>131845</v>
      </c>
      <c r="D157" s="35" t="n">
        <f aca="false">MIN(D136-D137+SUM($C153:C153)+SUM($C154:C154)-SUM($C155:C155)+D153,D156)</f>
        <v>88992.9491519178</v>
      </c>
      <c r="E157" s="35" t="n">
        <f aca="false">MIN(E136-E137+SUM($C153:D153)+SUM($C154:D154)-SUM($C155:D155)+E153,E156)</f>
        <v>88992.9491519178</v>
      </c>
      <c r="F157" s="35" t="n">
        <f aca="false">MIN(F136-F137+SUM($C153:E153)+SUM($C154:E154)-SUM($C155:E155)+F153,F156)</f>
        <v>99067.1953649183</v>
      </c>
      <c r="G157" s="35" t="n">
        <f aca="false">MIN(G136-G137+SUM($C153:F153)+SUM($C154:F154)-SUM($C155:F155)+G153,G156)</f>
        <v>152623.643338986</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Inputs!$B$19+Inputs!$R$104</f>
        <v>0.12</v>
      </c>
      <c r="G162" s="16" t="n">
        <f aca="false">Inputs!$B$19+Inputs!$R$104</f>
        <v>0.12</v>
      </c>
    </row>
    <row r="163" customFormat="false" ht="15" hidden="false" customHeight="true" outlineLevel="0" collapsed="false">
      <c r="A163" s="13" t="s">
        <v>673</v>
      </c>
      <c r="F163" s="35" t="n">
        <f aca="false">G53*(1-G70)</f>
        <v>64148.3607370709</v>
      </c>
      <c r="G163" s="35" t="n">
        <f aca="false">G109*(1-G126)</f>
        <v>72946.496743454</v>
      </c>
    </row>
    <row r="164" customFormat="false" ht="15" hidden="false" customHeight="true" outlineLevel="0" collapsed="false">
      <c r="A164" s="13" t="s">
        <v>674</v>
      </c>
      <c r="F164" s="54" t="n">
        <f aca="false">Inputs!$R$102</f>
        <v>30</v>
      </c>
      <c r="G164" s="54" t="n">
        <f aca="false">Inputs!$R$102</f>
        <v>30</v>
      </c>
    </row>
    <row r="165" customFormat="false" ht="15" hidden="false" customHeight="true" outlineLevel="0" collapsed="false">
      <c r="A165" s="13" t="s">
        <v>675</v>
      </c>
      <c r="F165" s="35" t="n">
        <f aca="false">F163*F164</f>
        <v>1924450.82211213</v>
      </c>
      <c r="G165" s="35" t="n">
        <f aca="false">G163*G164</f>
        <v>2188394.90230362</v>
      </c>
    </row>
    <row r="166" customFormat="false" ht="15" hidden="false" customHeight="true" outlineLevel="0" collapsed="false">
      <c r="A166" s="13" t="s">
        <v>676</v>
      </c>
      <c r="F166" s="35" t="n">
        <f aca="false">F165*$G$21</f>
        <v>1223023.2884533</v>
      </c>
      <c r="G166" s="35" t="n">
        <f aca="false">G165*$G$21</f>
        <v>1390764.52310292</v>
      </c>
    </row>
    <row r="167" customFormat="false" ht="15" hidden="false" customHeight="true" outlineLevel="0" collapsed="false">
      <c r="A167" s="13" t="s">
        <v>677</v>
      </c>
      <c r="F167" s="35" t="n">
        <f aca="false">SUMPRODUCT(D76:G76,$D$21:$G$21)-F162*SUMPRODUCT(D81:G81,$D$21:$G$21)</f>
        <v>-3977.65868267242</v>
      </c>
      <c r="G167" s="35" t="n">
        <f aca="false">SUMPRODUCT(D132:G132,$D$21:$G$21)-G162*SUMPRODUCT(D137:G137,$D$21:$G$21)</f>
        <v>8398.6545410899</v>
      </c>
    </row>
    <row r="168" customFormat="false" ht="15" hidden="false" customHeight="true" outlineLevel="0" collapsed="false">
      <c r="A168" s="13" t="s">
        <v>678</v>
      </c>
      <c r="F168" s="35" t="n">
        <f aca="false">F166+F167</f>
        <v>1219045.62977062</v>
      </c>
      <c r="G168" s="35" t="n">
        <f aca="false">G166+G167</f>
        <v>1399163.17764401</v>
      </c>
    </row>
    <row r="169" customFormat="false" ht="15" hidden="false" customHeight="true" outlineLevel="0" collapsed="false">
      <c r="A169" s="13" t="s">
        <v>679</v>
      </c>
      <c r="F169" s="35" t="n">
        <f aca="false">(G76-G74)*Inputs!$R$103*$G$21</f>
        <v>1025277.16610871</v>
      </c>
      <c r="G169" s="35" t="n">
        <f aca="false">(G132-G130)*Inputs!$R$103*$G$21</f>
        <v>1159829.59669382</v>
      </c>
    </row>
    <row r="170" customFormat="false" ht="15" hidden="false" customHeight="true" outlineLevel="0" collapsed="false">
      <c r="A170" s="13" t="s">
        <v>680</v>
      </c>
      <c r="F170" s="35" t="n">
        <f aca="false">F167+F169</f>
        <v>1021299.50742603</v>
      </c>
      <c r="G170" s="35" t="n">
        <f aca="false">G167+G169</f>
        <v>1168228.25123491</v>
      </c>
    </row>
    <row r="171" customFormat="false" ht="15" hidden="false" customHeight="true" outlineLevel="0" collapsed="false">
      <c r="A171" s="13" t="s">
        <v>681</v>
      </c>
      <c r="F171" s="35" t="n">
        <f aca="false">F168*Inputs!$B$21+F170*(1-Inputs!$B$21)</f>
        <v>1120172.56859833</v>
      </c>
      <c r="G171" s="35" t="n">
        <f aca="false">G168*Inputs!$B$21+G170*(1-Inputs!$B$21)</f>
        <v>1283695.71443946</v>
      </c>
    </row>
    <row r="172" customFormat="false" ht="15" hidden="false" customHeight="true" outlineLevel="0" collapsed="false">
      <c r="A172" s="13" t="s">
        <v>682</v>
      </c>
      <c r="F172" s="16" t="n">
        <f aca="false">IFERROR(F166/F168,0)</f>
        <v>1.00326292846267</v>
      </c>
      <c r="G172" s="16" t="n">
        <f aca="false">IFERROR(G166/G168,0)</f>
        <v>0.99399737309037</v>
      </c>
    </row>
    <row r="173" customFormat="false" ht="15" hidden="false" customHeight="true" outlineLevel="0" collapsed="false">
      <c r="A173" s="13" t="s">
        <v>683</v>
      </c>
      <c r="F173" s="16" t="n">
        <f aca="false">IFERROR(F169/F170,0)</f>
        <v>1.00389470341829</v>
      </c>
      <c r="G173" s="16" t="n">
        <f aca="false">IFERROR(G169/G170,0)</f>
        <v>0.992810776034382</v>
      </c>
    </row>
    <row r="174" customFormat="false" ht="15" hidden="false" customHeight="true" outlineLevel="0" collapsed="false">
      <c r="A174" s="13" t="s">
        <v>684</v>
      </c>
      <c r="F174" s="35" t="n">
        <f aca="false">C85</f>
        <v>136032.227153091</v>
      </c>
      <c r="G174" s="35" t="n">
        <f aca="false">C141</f>
        <v>136032.227153091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1256204.79575142</v>
      </c>
      <c r="G176" s="34" t="n">
        <f aca="false">G171+G174+G175</f>
        <v>1419727.94159255</v>
      </c>
    </row>
    <row r="177" customFormat="false" ht="15" hidden="false" customHeight="true" outlineLevel="0" collapsed="false">
      <c r="A177" s="13" t="s">
        <v>687</v>
      </c>
      <c r="F177" s="35" t="n">
        <f aca="false">IF(F182="OK",F176,"unresolved")</f>
        <v>1256204.79575142</v>
      </c>
      <c r="G177" s="35" t="n">
        <f aca="false">IF(G182="OK",G176,"unresolved")</f>
        <v>1419727.94159255</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70.0340403915676</v>
      </c>
      <c r="G179" s="25" t="n">
        <f aca="false">IF(G182="OK",G176/G178,"n/a")</f>
        <v>79.1505368732928</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70.0340403915676</v>
      </c>
      <c r="G184" s="25" t="n">
        <f aca="false">IF(NOT(ISNUMBER(G179)),"unresolved",IF(G180=0,G179,(G176+G180/(1+G162)^IF(ISNUMBER(G149),MAX(0,G149-2027),0))/(G178+(G180/(1-Inputs!$B$31))/(G179*(1+G162)^IF(ISNUMBER(G149),MAX(0,G149-2027),0)*(1-0)))))</f>
        <v>79.1505368732928</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70.0340403915676</v>
      </c>
      <c r="G185" s="25" t="n">
        <f aca="false">IF(NOT(ISNUMBER(G179)),"unresolved",IF(G180=0,G179,(G176+G180/(1+G162)^IF(ISNUMBER(G149),MAX(0,G149-2027),0))/(G178+(G180/(1-Inputs!$B$31))/(G179*(1+G162)^IF(ISNUMBER(G149),MAX(0,G149-2027),0)*(1-Inputs!$B$30)))))</f>
        <v>79.1505368732928</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70.0340403915676</v>
      </c>
      <c r="G186" s="25" t="n">
        <f aca="false">IF(NOT(ISNUMBER(G179)),"unresolved",IF(G180=0,G179,(G176+G180/(1+G162)^IF(ISNUMBER(G149),MAX(0,G149-2027),0))/(G178+(G180/(1-Inputs!$B$31))/(G179*(1+G162)^IF(ISNUMBER(G149),MAX(0,G149-2027),0)*(1-0.3)))))</f>
        <v>79.1505368732928</v>
      </c>
    </row>
    <row r="187" customFormat="false" ht="15" hidden="false" customHeight="true" outlineLevel="0" collapsed="false">
      <c r="A187" s="13" t="s">
        <v>696</v>
      </c>
      <c r="F187" s="25" t="n">
        <f aca="false">F185</f>
        <v>70.0340403915676</v>
      </c>
      <c r="G187" s="25" t="n">
        <f aca="false">G185</f>
        <v>79.1505368732928</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70.0340403915676</v>
      </c>
      <c r="G189" s="12" t="n">
        <f aca="false">IF(ISNUMBER(G187),G187/(1+Inputs!$B$25)^G188,"unresolved")</f>
        <v>79.1505368732928</v>
      </c>
    </row>
    <row r="190" customFormat="false" ht="15" hidden="false" customHeight="true" outlineLevel="0" collapsed="false">
      <c r="A190" s="13" t="s">
        <v>699</v>
      </c>
      <c r="F190" s="25" t="n">
        <f aca="false">IF(F180=0,F189,"unresolved")</f>
        <v>70.0340403915676</v>
      </c>
      <c r="G190" s="25" t="n">
        <f aca="false">IF(G180=0,G189,"unresolved")</f>
        <v>79.1505368732928</v>
      </c>
    </row>
    <row r="191" customFormat="false" ht="15" hidden="false" customHeight="true" outlineLevel="0" collapsed="false">
      <c r="A191" s="13" t="s">
        <v>700</v>
      </c>
      <c r="F191" s="35" t="n">
        <f aca="false">IF(ISNUMBER(F179),F176+F180/(1+F162)^IF(ISNUMBER(G93),MAX(0,G93-2027),0),"unresolved")</f>
        <v>1256204.79575142</v>
      </c>
      <c r="G191" s="35" t="n">
        <f aca="false">IF(ISNUMBER(G179),G176+G180/(1+G162)^IF(ISNUMBER(G149),MAX(0,G149-2027),0),"unresolved")</f>
        <v>1419727.94159255</v>
      </c>
    </row>
    <row r="192" customFormat="false" ht="15" hidden="false" customHeight="true" outlineLevel="0" collapsed="false">
      <c r="A192" s="13" t="s">
        <v>701</v>
      </c>
      <c r="F192" s="28" t="n">
        <f aca="false">IFERROR(F191/D49,"n/a")</f>
        <v>11.5796319803051</v>
      </c>
      <c r="G192" s="28" t="n">
        <f aca="false">IFERROR(G191/D105,"n/a")</f>
        <v>12.8555795974128</v>
      </c>
    </row>
    <row r="193" customFormat="false" ht="15" hidden="false" customHeight="true" outlineLevel="0" collapsed="false">
      <c r="A193" s="13" t="s">
        <v>702</v>
      </c>
      <c r="F193" s="25" t="n">
        <f aca="false">(F168+F174)/F178</f>
        <v>75.5462625890927</v>
      </c>
      <c r="G193" s="25" t="n">
        <f aca="false">(G168+G174)/G178</f>
        <v>85.5879052142904</v>
      </c>
    </row>
    <row r="194" customFormat="false" ht="15" hidden="false" customHeight="true" outlineLevel="0" collapsed="false">
      <c r="A194" s="13" t="s">
        <v>703</v>
      </c>
      <c r="F194" s="25" t="n">
        <f aca="false">(F170+F174)/F178</f>
        <v>64.5218181940425</v>
      </c>
      <c r="G194" s="25" t="n">
        <f aca="false">(G170+G174)/G178</f>
        <v>72.7131685322951</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722</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Historicals!F35+(Inputs!$B$5+Inputs!$S$75)</f>
        <v>54242</v>
      </c>
      <c r="D5" s="35" t="n">
        <f aca="false">C5*(1+Inputs!$S$77)</f>
        <v>108484</v>
      </c>
      <c r="E5" s="35" t="n">
        <f aca="false">D5*(1+Inputs!$S$78)</f>
        <v>168150.2</v>
      </c>
      <c r="F5" s="35" t="n">
        <f aca="false">E5*(1+Inputs!$S$79)</f>
        <v>227002.77</v>
      </c>
      <c r="G5" s="35" t="n">
        <f aca="false">F5*(1+Inputs!$S$80)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Historicals!F51+(Inputs!$B$5+Inputs!$S$75)*Historicals!F51/Historicals!F35</f>
        <v>10731.163207663</v>
      </c>
      <c r="D7" s="35" t="n">
        <f aca="false">D5*Inputs!$S$76</f>
        <v>21696.8</v>
      </c>
      <c r="E7" s="35" t="n">
        <f aca="false">E5*Inputs!$S$76</f>
        <v>33630.04</v>
      </c>
      <c r="F7" s="35" t="n">
        <f aca="false">F5*Inputs!$S$76</f>
        <v>45400.554</v>
      </c>
      <c r="G7" s="35" t="n">
        <f aca="false">G5*Inputs!$S$76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Historicals!F36+Historicals!H6+Inputs!$S$75*Inputs!$S$81</f>
        <v>28258</v>
      </c>
      <c r="D9" s="35" t="n">
        <f aca="false">(C9-Inputs!$S$113)*(1+Inputs!$S$82)</f>
        <v>48038.6</v>
      </c>
      <c r="E9" s="35" t="n">
        <f aca="false">D9*(1+Inputs!$S$83)</f>
        <v>69655.97</v>
      </c>
      <c r="F9" s="35" t="n">
        <f aca="false">E9*(1+Inputs!$S$84)</f>
        <v>90552.761</v>
      </c>
      <c r="G9" s="35" t="n">
        <f aca="false">F9*(1+Inputs!$S$85)</f>
        <v>108663.3132</v>
      </c>
    </row>
    <row r="10" customFormat="false" ht="15" hidden="false" customHeight="true" outlineLevel="0" collapsed="false">
      <c r="A10" s="13" t="s">
        <v>219</v>
      </c>
      <c r="B10" s="41" t="n">
        <f aca="false">Historicals!D36</f>
        <v>7326</v>
      </c>
      <c r="C10" s="35" t="n">
        <f aca="false">Historicals!F36+Historicals!H6+MAX(Inputs!$S$75*Inputs!$S$81,Inputs!$S$108*C22)</f>
        <v>30039</v>
      </c>
      <c r="D10" s="35" t="n">
        <f aca="false">MAX(D9,Inputs!$S$108*D22)</f>
        <v>72357.5</v>
      </c>
      <c r="E10" s="35" t="n">
        <f aca="false">MAX(E9,Inputs!$S$108*E22)</f>
        <v>94742</v>
      </c>
      <c r="F10" s="35" t="n">
        <f aca="false">MAX(F9,Inputs!$S$108*F22)</f>
        <v>123329.5</v>
      </c>
      <c r="G10" s="35" t="n">
        <f aca="false">MAX(G9,Inputs!$S$108*G22)</f>
        <v>145840</v>
      </c>
    </row>
    <row r="11" customFormat="false" ht="15" hidden="false" customHeight="true" outlineLevel="0" collapsed="false">
      <c r="A11" s="13" t="s">
        <v>220</v>
      </c>
      <c r="B11" s="41" t="n">
        <f aca="false">Historicals!D37</f>
        <v>1839</v>
      </c>
      <c r="C11" s="35" t="n">
        <f aca="false">Historicals!F37+Historicals!H7+Inputs!$S$75*Historicals!H24</f>
        <v>6982.0728945506</v>
      </c>
      <c r="D11" s="35" t="n">
        <f aca="false">D5*Inputs!$S$86</f>
        <v>15187.76</v>
      </c>
      <c r="E11" s="35" t="n">
        <f aca="false">E5*Inputs!$S$87</f>
        <v>21859.526</v>
      </c>
      <c r="F11" s="35" t="n">
        <f aca="false">F5*Inputs!$S$88</f>
        <v>27240.3324</v>
      </c>
      <c r="G11" s="35" t="n">
        <f aca="false">G5*Inputs!$S$89</f>
        <v>31212.880875</v>
      </c>
    </row>
    <row r="12" customFormat="false" ht="15" hidden="false" customHeight="true" outlineLevel="0" collapsed="false">
      <c r="A12" s="13" t="s">
        <v>584</v>
      </c>
      <c r="B12" s="41" t="n">
        <f aca="false">Historicals!D49</f>
        <v>1158</v>
      </c>
      <c r="C12" s="35" t="n">
        <f aca="false">Historicals!F49+Historicals!H19+Inputs!$S$75*Historicals!H29</f>
        <v>4580.19462137297</v>
      </c>
      <c r="D12" s="35" t="n">
        <f aca="false">D5*Inputs!$S$90</f>
        <v>9763.56</v>
      </c>
      <c r="E12" s="35" t="n">
        <f aca="false">E5*Inputs!$S$91</f>
        <v>13452.016</v>
      </c>
      <c r="F12" s="35" t="n">
        <f aca="false">F5*Inputs!$S$92</f>
        <v>15890.1939</v>
      </c>
      <c r="G12" s="35" t="n">
        <f aca="false">G5*Inputs!$S$93</f>
        <v>17025.20775</v>
      </c>
    </row>
    <row r="13" customFormat="false" ht="15" hidden="false" customHeight="true" outlineLevel="0" collapsed="false">
      <c r="A13" s="13" t="s">
        <v>585</v>
      </c>
      <c r="B13" s="41" t="n">
        <f aca="false">Historicals!D39</f>
        <v>568</v>
      </c>
      <c r="C13" s="35" t="n">
        <f aca="false">Historicals!F39+Historicals!H9+Inputs!$S$75*Historicals!H25</f>
        <v>8453.09766454352</v>
      </c>
      <c r="D13" s="35" t="n">
        <f aca="false">D5*Inputs!$S$94</f>
        <v>18442.28</v>
      </c>
      <c r="E13" s="35" t="n">
        <f aca="false">E5*Inputs!$S$95</f>
        <v>26904.032</v>
      </c>
      <c r="F13" s="35" t="n">
        <f aca="false">F5*Inputs!$S$96</f>
        <v>34050.4155</v>
      </c>
      <c r="G13" s="35" t="n">
        <f aca="false">G5*Inputs!$S$97</f>
        <v>42563.019375</v>
      </c>
    </row>
    <row r="14" customFormat="false" ht="15" hidden="false" customHeight="true" outlineLevel="0" collapsed="false">
      <c r="A14" s="13" t="s">
        <v>586</v>
      </c>
      <c r="B14" s="41" t="n">
        <f aca="false">Historicals!D40</f>
        <v>1412</v>
      </c>
      <c r="C14" s="35" t="n">
        <f aca="false">Historicals!F40+Historicals!H10-Inputs!$B$37+Inputs!$S$75*(Historicals!H10-Inputs!$B$37)/Historicals!H5</f>
        <v>5358.27742392074</v>
      </c>
      <c r="D14" s="35" t="n">
        <f aca="false">D5*Inputs!$S$98</f>
        <v>8678.72</v>
      </c>
      <c r="E14" s="35" t="n">
        <f aca="false">E5*Inputs!$S$99</f>
        <v>11770.514</v>
      </c>
      <c r="F14" s="35" t="n">
        <f aca="false">F5*Inputs!$S$100</f>
        <v>13620.1662</v>
      </c>
      <c r="G14" s="35" t="n">
        <f aca="false">G5*Inputs!$S$101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52792.4479830149</v>
      </c>
      <c r="D16" s="36" t="n">
        <f aca="false">D10+D11+D13+D14+D15</f>
        <v>114666.26</v>
      </c>
      <c r="E16" s="36" t="n">
        <f aca="false">E10+E11+E13+E14+E15</f>
        <v>155276.072</v>
      </c>
      <c r="F16" s="36" t="n">
        <f aca="false">F10+F11+F13+F14+F15</f>
        <v>198240.4141</v>
      </c>
      <c r="G16" s="36" t="n">
        <f aca="false">G10+G11+G13+G14+G15</f>
        <v>236641.108</v>
      </c>
    </row>
    <row r="17" customFormat="false" ht="15" hidden="false" customHeight="true" outlineLevel="0" collapsed="false">
      <c r="A17" s="10" t="s">
        <v>588</v>
      </c>
      <c r="B17" s="34" t="n">
        <f aca="false">B5-B16</f>
        <v>-8060</v>
      </c>
      <c r="C17" s="34" t="n">
        <f aca="false">C5-C16</f>
        <v>1449.55201698514</v>
      </c>
      <c r="D17" s="34" t="n">
        <f aca="false">D5-D16</f>
        <v>-6182.26000000001</v>
      </c>
      <c r="E17" s="34" t="n">
        <f aca="false">E5-E16</f>
        <v>12874.128</v>
      </c>
      <c r="F17" s="34" t="n">
        <f aca="false">F5-F16</f>
        <v>28762.3559</v>
      </c>
      <c r="G17" s="34" t="n">
        <f aca="false">G5-G16</f>
        <v>47112.3545</v>
      </c>
    </row>
    <row r="18" customFormat="false" ht="15" hidden="false" customHeight="true" outlineLevel="0" collapsed="false">
      <c r="A18" s="13" t="s">
        <v>589</v>
      </c>
      <c r="B18" s="16" t="n">
        <f aca="false">IFERROR(B17/B5,0)</f>
        <v>-1.75790621592148</v>
      </c>
      <c r="C18" s="16" t="n">
        <f aca="false">IFERROR(C17/C5,0)</f>
        <v>0.0267237936835873</v>
      </c>
      <c r="D18" s="16" t="n">
        <f aca="false">IFERROR(D17/D5,0)</f>
        <v>-0.0569877585634749</v>
      </c>
      <c r="E18" s="16" t="n">
        <f aca="false">IFERROR(E17/E5,0)</f>
        <v>0.0765632630826489</v>
      </c>
      <c r="F18" s="16" t="n">
        <f aca="false">IFERROR(F17/F5,0)</f>
        <v>0.126704867522101</v>
      </c>
      <c r="G18" s="16" t="n">
        <f aca="false">IFERROR(G17/G5,0)</f>
        <v>0.166032703477583</v>
      </c>
    </row>
    <row r="19" customFormat="false" ht="15" hidden="false" customHeight="true" outlineLevel="0" collapsed="false">
      <c r="A19" s="13" t="s">
        <v>590</v>
      </c>
      <c r="B19" s="16" t="n">
        <f aca="false">IFERROR(B10/B5,0)</f>
        <v>1.59781897491821</v>
      </c>
      <c r="C19" s="16" t="n">
        <f aca="false">IFERROR(C10/C5,0)</f>
        <v>0.553795951476716</v>
      </c>
      <c r="D19" s="16" t="n">
        <f aca="false">IFERROR(D10/D5,0)</f>
        <v>0.666987758563475</v>
      </c>
      <c r="E19" s="16" t="n">
        <f aca="false">IFERROR(E10/E5,0)</f>
        <v>0.563436736917351</v>
      </c>
      <c r="F19" s="16" t="n">
        <f aca="false">IFERROR(F10/F5,0)</f>
        <v>0.543295132477899</v>
      </c>
      <c r="G19" s="16" t="n">
        <f aca="false">IFERROR(G10/G5,0)</f>
        <v>0.513967296522417</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1/(1+Inputs!$B$19+Inputs!$S$104)^1</f>
        <v>0.892857142857143</v>
      </c>
      <c r="E21" s="53" t="n">
        <f aca="false">1/(1+Inputs!$B$19+Inputs!$S$104)^2</f>
        <v>0.79719387755102</v>
      </c>
      <c r="F21" s="53" t="n">
        <f aca="false">1/(1+Inputs!$B$19+Inputs!$S$104)^3</f>
        <v>0.711780247813411</v>
      </c>
      <c r="G21" s="53" t="n">
        <f aca="false">1/(1+Inputs!$B$19+Inputs!$S$104)^4</f>
        <v>0.635518078404831</v>
      </c>
    </row>
    <row r="22" customFormat="false" ht="15" hidden="false" customHeight="true" outlineLevel="0" collapsed="false">
      <c r="A22" s="13" t="s">
        <v>593</v>
      </c>
      <c r="C22" s="35" t="n">
        <f aca="false">Inputs!B$69+Inputs!$B$47*Inputs!$B$46</f>
        <v>11231</v>
      </c>
      <c r="D22" s="35" t="n">
        <f aca="false">Inputs!C$69+Inputs!$B$47*(1-Inputs!$B$46)+Inputs!$B$70*Inputs!$S$109</f>
        <v>72357.5</v>
      </c>
      <c r="E22" s="35" t="n">
        <f aca="false">Inputs!D$69+Inputs!$B$70*Inputs!$S$110</f>
        <v>94742</v>
      </c>
      <c r="F22" s="35" t="n">
        <f aca="false">Inputs!E$69+Inputs!$B$70*Inputs!$S$111</f>
        <v>123329.5</v>
      </c>
      <c r="G22" s="35" t="n">
        <f aca="false">Inputs!F$69+Inputs!$B$70*Inputs!$S$112</f>
        <v>145840</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Inputs!$S$107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30039</v>
      </c>
      <c r="D44" s="35" t="n">
        <f aca="false">D10*Inputs!$B$39</f>
        <v>72357.5</v>
      </c>
      <c r="E44" s="35" t="n">
        <f aca="false">E10*Inputs!$B$39</f>
        <v>94742</v>
      </c>
      <c r="F44" s="35" t="n">
        <f aca="false">F10*Inputs!$B$39</f>
        <v>123329.5</v>
      </c>
      <c r="G44" s="35" t="n">
        <f aca="false">G10*Inputs!$B$39</f>
        <v>145840</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1449.55201698514</v>
      </c>
      <c r="D50" s="35" t="n">
        <f aca="false">D17</f>
        <v>-6182.26000000001</v>
      </c>
      <c r="E50" s="35" t="n">
        <f aca="false">E17</f>
        <v>12874.128</v>
      </c>
      <c r="F50" s="35" t="n">
        <f aca="false">F17</f>
        <v>28762.3559</v>
      </c>
      <c r="G50" s="35" t="n">
        <f aca="false">G17</f>
        <v>47112.3545</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1449.55201698514</v>
      </c>
      <c r="D53" s="36" t="n">
        <f aca="false">D50-D52</f>
        <v>-7050.13200000001</v>
      </c>
      <c r="E53" s="36" t="n">
        <f aca="false">E50-E52</f>
        <v>10324.754</v>
      </c>
      <c r="F53" s="36" t="n">
        <f aca="false">F50-F52</f>
        <v>23942.9542</v>
      </c>
      <c r="G53" s="36" t="n">
        <f aca="false">G50-G52</f>
        <v>39455.418175</v>
      </c>
    </row>
    <row r="54" customFormat="false" ht="15" hidden="false" customHeight="true" outlineLevel="0" collapsed="false">
      <c r="A54" s="13" t="s">
        <v>620</v>
      </c>
      <c r="C54" s="16" t="n">
        <f aca="false">IFERROR(C53/C49,0)</f>
        <v>0.0267237936835873</v>
      </c>
      <c r="D54" s="16" t="n">
        <f aca="false">IFERROR(D53/D49,0)</f>
        <v>-0.0649877585634749</v>
      </c>
      <c r="E54" s="16" t="n">
        <f aca="false">IFERROR(E53/E49,0)</f>
        <v>0.0614019727600682</v>
      </c>
      <c r="F54" s="16" t="n">
        <f aca="false">IFERROR(F53/F49,0)</f>
        <v>0.105474282097967</v>
      </c>
      <c r="G54" s="16" t="n">
        <f aca="false">IFERROR(G53/G49,0)</f>
        <v>0.139048235138276</v>
      </c>
    </row>
    <row r="55" customFormat="false" ht="15" hidden="false" customHeight="true" outlineLevel="0" collapsed="false">
      <c r="A55" s="13" t="s">
        <v>621</v>
      </c>
      <c r="C55" s="35" t="n">
        <f aca="false">Historicals!F43+Historicals!H13+C80*Inputs!$B$20/4</f>
        <v>3183.03125</v>
      </c>
      <c r="D55" s="35" t="n">
        <f aca="false">MAX(0,D80-D81)*Inputs!$B$20</f>
        <v>3400.80567882726</v>
      </c>
      <c r="E55" s="35" t="n">
        <f aca="false">MAX(0,E80-E81)*Inputs!$B$20</f>
        <v>3466.87432079795</v>
      </c>
      <c r="F55" s="35" t="n">
        <f aca="false">MAX(0,F80-F81)*Inputs!$B$20</f>
        <v>3969.02221744041</v>
      </c>
      <c r="G55" s="35" t="n">
        <f aca="false">MAX(0,G80-G81)*Inputs!$B$20</f>
        <v>4730.4556809055</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4632.58326698514</v>
      </c>
      <c r="D58" s="35" t="n">
        <f aca="false">D53+D55+D56-D57</f>
        <v>-3649.32632117275</v>
      </c>
      <c r="E58" s="35" t="n">
        <f aca="false">E53+E55+E56-E57</f>
        <v>13791.628320798</v>
      </c>
      <c r="F58" s="35" t="n">
        <f aca="false">F53+F55+F56-F57</f>
        <v>27911.9764174404</v>
      </c>
      <c r="G58" s="35" t="n">
        <f aca="false">G53+G55+G56-G57</f>
        <v>44185.8738559055</v>
      </c>
    </row>
    <row r="59" customFormat="false" ht="15" hidden="false" customHeight="true" outlineLevel="0" collapsed="false">
      <c r="A59" s="13" t="s">
        <v>625</v>
      </c>
      <c r="C59" s="35" t="n">
        <f aca="false">C58*Inputs!$B$58</f>
        <v>3335.4599522293</v>
      </c>
      <c r="D59" s="35" t="n">
        <f aca="false">D58*Inputs!$B$58</f>
        <v>-2627.51495124438</v>
      </c>
      <c r="E59" s="35" t="n">
        <f aca="false">E58*Inputs!$B$58</f>
        <v>9929.97239097454</v>
      </c>
      <c r="F59" s="35" t="n">
        <f aca="false">F58*Inputs!$B$58</f>
        <v>20096.6230205571</v>
      </c>
      <c r="G59" s="35" t="n">
        <f aca="false">G58*Inputs!$B$58</f>
        <v>31813.829176252</v>
      </c>
    </row>
    <row r="60" customFormat="false" ht="15" hidden="false" customHeight="true" outlineLevel="0" collapsed="false">
      <c r="A60" s="13" t="s">
        <v>626</v>
      </c>
      <c r="C60" s="35" t="n">
        <f aca="false">Inputs!$B$60</f>
        <v>4200</v>
      </c>
      <c r="D60" s="35" t="n">
        <f aca="false">C62</f>
        <v>4200</v>
      </c>
      <c r="E60" s="35" t="n">
        <f aca="false">D62</f>
        <v>6827.51495124438</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0</v>
      </c>
      <c r="E61" s="35" t="n">
        <f aca="false">IF(AND(2028=2026,Inputs!$B$61=1),0,MIN(E60,MAX(0,E59)))</f>
        <v>6827.51495124438</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6827.51495124438</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200.127597133758</v>
      </c>
      <c r="D63" s="35" t="n">
        <f aca="false">MAX(0,D59-D61)*Inputs!$B$59</f>
        <v>0</v>
      </c>
      <c r="E63" s="35" t="n">
        <f aca="false">MAX(0,E59-E61)*Inputs!$B$59</f>
        <v>186.14744638381</v>
      </c>
      <c r="F63" s="35" t="n">
        <f aca="false">MAX(0,F59-F61)*Inputs!$B$59</f>
        <v>1205.79738123343</v>
      </c>
      <c r="G63" s="35" t="n">
        <f aca="false">MAX(0,G59-G61)*Inputs!$B$59</f>
        <v>1908.82975057512</v>
      </c>
    </row>
    <row r="64" customFormat="false" ht="15" hidden="false" customHeight="true" outlineLevel="0" collapsed="false">
      <c r="A64" s="13" t="s">
        <v>630</v>
      </c>
      <c r="C64" s="35" t="n">
        <f aca="false">C58-C63</f>
        <v>4432.45566985139</v>
      </c>
      <c r="D64" s="35" t="n">
        <f aca="false">D58-D63</f>
        <v>-3649.32632117275</v>
      </c>
      <c r="E64" s="35" t="n">
        <f aca="false">E58-E63</f>
        <v>13605.4808744142</v>
      </c>
      <c r="F64" s="35" t="n">
        <f aca="false">F58-F63</f>
        <v>26706.179036207</v>
      </c>
      <c r="G64" s="35" t="n">
        <f aca="false">G58-G63</f>
        <v>42277.0441053304</v>
      </c>
    </row>
    <row r="65" customFormat="false" ht="15" hidden="false" customHeight="true" outlineLevel="0" collapsed="false">
      <c r="A65" s="13" t="s">
        <v>631</v>
      </c>
      <c r="C65" s="35" t="n">
        <f aca="false">Inputs!$B$56</f>
        <v>8200</v>
      </c>
      <c r="D65" s="35" t="n">
        <f aca="false">C67</f>
        <v>4654.03546411889</v>
      </c>
      <c r="E65" s="35" t="n">
        <f aca="false">D67</f>
        <v>8303.36178529164</v>
      </c>
      <c r="F65" s="35" t="n">
        <f aca="false">E67</f>
        <v>0</v>
      </c>
      <c r="G65" s="35" t="n">
        <f aca="false">F67</f>
        <v>0</v>
      </c>
    </row>
    <row r="66" customFormat="false" ht="15" hidden="false" customHeight="true" outlineLevel="0" collapsed="false">
      <c r="A66" s="13" t="s">
        <v>632</v>
      </c>
      <c r="C66" s="35" t="n">
        <f aca="false">MIN(C65,Inputs!$B$57*MAX(0,C64))</f>
        <v>3545.96453588111</v>
      </c>
      <c r="D66" s="35" t="n">
        <f aca="false">MIN(D65,Inputs!$B$57*MAX(0,D64))</f>
        <v>0</v>
      </c>
      <c r="E66" s="35" t="n">
        <f aca="false">MIN(E65,Inputs!$B$57*MAX(0,E64))</f>
        <v>8303.36178529164</v>
      </c>
      <c r="F66" s="35" t="n">
        <f aca="false">MIN(F65,Inputs!$B$57*MAX(0,F64))</f>
        <v>0</v>
      </c>
      <c r="G66" s="35" t="n">
        <f aca="false">MIN(G65,Inputs!$B$57*MAX(0,G64))</f>
        <v>0</v>
      </c>
    </row>
    <row r="67" customFormat="false" ht="15" hidden="false" customHeight="true" outlineLevel="0" collapsed="false">
      <c r="A67" s="13" t="s">
        <v>633</v>
      </c>
      <c r="C67" s="35" t="n">
        <f aca="false">C65-C66+MAX(0,-C64)</f>
        <v>4654.03546411889</v>
      </c>
      <c r="D67" s="35" t="n">
        <f aca="false">D65-D66+MAX(0,-D64)</f>
        <v>8303.36178529164</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186.163138133758</v>
      </c>
      <c r="D68" s="35" t="n">
        <f aca="false">MAX(0,D64-D66)*Inputs!$B$55</f>
        <v>0</v>
      </c>
      <c r="E68" s="35" t="n">
        <f aca="false">MAX(0,E64-E66)*Inputs!$B$55</f>
        <v>1113.44500871573</v>
      </c>
      <c r="F68" s="35" t="n">
        <f aca="false">MAX(0,F64-F66)*Inputs!$B$55</f>
        <v>5608.29759760347</v>
      </c>
      <c r="G68" s="35" t="n">
        <f aca="false">MAX(0,G64-G66)*Inputs!$B$55</f>
        <v>8878.17926211938</v>
      </c>
    </row>
    <row r="69" customFormat="false" ht="15" hidden="false" customHeight="true" outlineLevel="0" collapsed="false">
      <c r="A69" s="10" t="s">
        <v>635</v>
      </c>
      <c r="C69" s="36" t="n">
        <f aca="false">IF(Inputs!$S$105=0,MAX(0,C53+C55)*Inputs!B$66,IF(Inputs!$S$105=2,MAX(0,C58)*Inputs!$S$106,C63+C68))</f>
        <v>386.290735267516</v>
      </c>
      <c r="D69" s="36" t="n">
        <f aca="false">IF(Inputs!$S$105=0,MAX(0,D53+D55)*Inputs!C$66,IF(Inputs!$S$105=2,MAX(0,D58)*Inputs!$S$106,D63+D68))</f>
        <v>0</v>
      </c>
      <c r="E69" s="36" t="n">
        <f aca="false">IF(Inputs!$S$105=0,MAX(0,E53+E55)*Inputs!D$66,IF(Inputs!$S$105=2,MAX(0,E58)*Inputs!$S$106,E63+E68))</f>
        <v>1299.59245509954</v>
      </c>
      <c r="F69" s="36" t="n">
        <f aca="false">IF(Inputs!$S$105=0,MAX(0,F53+F55)*Inputs!E$66,IF(Inputs!$S$105=2,MAX(0,F58)*Inputs!$S$106,F63+F68))</f>
        <v>6814.09497883689</v>
      </c>
      <c r="G69" s="36" t="n">
        <f aca="false">IF(Inputs!$S$105=0,MAX(0,G53+G55)*Inputs!F$66,IF(Inputs!$S$105=2,MAX(0,G58)*Inputs!$S$106,G63+G68))</f>
        <v>10787.0090126945</v>
      </c>
    </row>
    <row r="70" customFormat="false" ht="15" hidden="false" customHeight="true" outlineLevel="0" collapsed="false">
      <c r="A70" s="13" t="s">
        <v>636</v>
      </c>
      <c r="C70" s="16" t="n">
        <f aca="false">IF(C58&gt;0,MIN(1,C69/C58),0)</f>
        <v>0.0833856</v>
      </c>
      <c r="D70" s="16" t="n">
        <f aca="false">IF(D58&gt;0,MIN(1,D69/D58),0)</f>
        <v>0</v>
      </c>
      <c r="E70" s="16" t="n">
        <f aca="false">IF(E58&gt;0,MIN(1,E69/E58),0)</f>
        <v>0.0942305306429797</v>
      </c>
      <c r="F70" s="16" t="n">
        <f aca="false">IF(F58&gt;0,MIN(1,F69/F58),0)</f>
        <v>0.244128</v>
      </c>
      <c r="G70" s="16" t="n">
        <f aca="false">IF(G58&gt;0,MIN(1,G69/G58),0)</f>
        <v>0.244128</v>
      </c>
    </row>
    <row r="71" customFormat="false" ht="15" hidden="false" customHeight="true" outlineLevel="0" collapsed="false">
      <c r="A71" s="13" t="s">
        <v>637</v>
      </c>
      <c r="C71" s="35" t="n">
        <f aca="false">C53+C55-C69</f>
        <v>4246.29253171763</v>
      </c>
      <c r="D71" s="35" t="n">
        <f aca="false">D53+D55-D69</f>
        <v>-3649.32632117275</v>
      </c>
      <c r="E71" s="35" t="n">
        <f aca="false">E53+E55-E69</f>
        <v>12492.0358656984</v>
      </c>
      <c r="F71" s="35" t="n">
        <f aca="false">F53+F55-F69</f>
        <v>21097.8814386035</v>
      </c>
      <c r="G71" s="35" t="n">
        <f aca="false">G53+G55-G69</f>
        <v>33398.864843211</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9285.22715309059</v>
      </c>
      <c r="D75" s="36" t="n">
        <f aca="false">D53+D72+D52+D55-D69-D51+D73+D74</f>
        <v>2642.74567882726</v>
      </c>
      <c r="E75" s="36" t="n">
        <f aca="false">E53+E72+E52+E55-E69-E51+E73+E74</f>
        <v>20085.9158656984</v>
      </c>
      <c r="F75" s="36" t="n">
        <f aca="false">F53+F72+F52+F55-F69-F51+F73+F74</f>
        <v>30457.3385386035</v>
      </c>
      <c r="G75" s="36" t="n">
        <f aca="false">G53+G72+G52+G55-G69-G51+G73+G74</f>
        <v>43893.335793211</v>
      </c>
    </row>
    <row r="76" customFormat="false" ht="15" hidden="false" customHeight="true" outlineLevel="0" collapsed="false">
      <c r="A76" s="10" t="s">
        <v>642</v>
      </c>
      <c r="C76" s="36" t="n">
        <f aca="false">C53+C52-(C69-C55*C70)-C51+C73+C74</f>
        <v>-298.579747682372</v>
      </c>
      <c r="D76" s="36" t="n">
        <f aca="false">D53+D52-(D69-D55*D70)-D51+D73+D74</f>
        <v>-10521.62</v>
      </c>
      <c r="E76" s="36" t="n">
        <f aca="false">E53+E52-(E69-E55*E70)-E51+E73+E74</f>
        <v>3493.7109518218</v>
      </c>
      <c r="F76" s="36" t="n">
        <f aca="false">F53+F52-(F69-F55*F70)-F51+F73+F74</f>
        <v>11567.0718770624</v>
      </c>
      <c r="G76" s="36" t="n">
        <f aca="false">G53+G52-(G69-G55*G70)-G51+G73+G74</f>
        <v>23292.5090467736</v>
      </c>
    </row>
    <row r="77" customFormat="false" ht="15" hidden="false" customHeight="true" outlineLevel="0" collapsed="false">
      <c r="A77" s="13" t="s">
        <v>643</v>
      </c>
      <c r="C77" s="16" t="n">
        <f aca="false">IFERROR(C76/C49,0)</f>
        <v>-0.0055045858869948</v>
      </c>
      <c r="D77" s="16" t="n">
        <f aca="false">IFERROR(D76/D49,0)</f>
        <v>-0.0969877585634749</v>
      </c>
      <c r="E77" s="16" t="n">
        <f aca="false">IFERROR(E76/E49,0)</f>
        <v>0.0207773226069419</v>
      </c>
      <c r="F77" s="16" t="n">
        <f aca="false">IFERROR(F76/F49,0)</f>
        <v>0.0509556419820886</v>
      </c>
      <c r="G77" s="16" t="n">
        <f aca="false">IFERROR(G76/G49,0)</f>
        <v>0.0820871359297461</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136032.227153091</v>
      </c>
      <c r="E80" s="35" t="n">
        <f aca="false">D85</f>
        <v>138674.972831918</v>
      </c>
      <c r="F80" s="35" t="n">
        <f aca="false">E85</f>
        <v>158760.888697616</v>
      </c>
      <c r="G80" s="35" t="n">
        <f aca="false">F85</f>
        <v>189218.22723622</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4187.22715309059</v>
      </c>
      <c r="D82" s="35" t="n">
        <f aca="false">D75</f>
        <v>2642.74567882726</v>
      </c>
      <c r="E82" s="35" t="n">
        <f aca="false">E75</f>
        <v>20085.9158656984</v>
      </c>
      <c r="F82" s="35" t="n">
        <f aca="false">F75</f>
        <v>30457.3385386035</v>
      </c>
      <c r="G82" s="35" t="n">
        <f aca="false">G75</f>
        <v>43893.335793211</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136032.227153091</v>
      </c>
      <c r="D85" s="36" t="n">
        <f aca="false">D80+D82+D83+D84</f>
        <v>138674.972831918</v>
      </c>
      <c r="E85" s="36" t="n">
        <f aca="false">E80+E82+E83+E84</f>
        <v>158760.888697616</v>
      </c>
      <c r="F85" s="36" t="n">
        <f aca="false">F80+F82+F83+F84</f>
        <v>189218.22723622</v>
      </c>
      <c r="G85" s="36" t="n">
        <f aca="false">G80+G82+G83+G84</f>
        <v>233111.563029431</v>
      </c>
    </row>
    <row r="86" customFormat="false" ht="15" hidden="false" customHeight="true" outlineLevel="0" collapsed="false">
      <c r="A86" s="13" t="s">
        <v>653</v>
      </c>
      <c r="C86" s="35" t="n">
        <f aca="false">MIN(C80-C81,C85)</f>
        <v>131845</v>
      </c>
      <c r="D86" s="35" t="n">
        <f aca="false">MIN(D80-D81,D85)</f>
        <v>136032.227153091</v>
      </c>
      <c r="E86" s="35" t="n">
        <f aca="false">MIN(E80-E81,E85)</f>
        <v>138674.972831918</v>
      </c>
      <c r="F86" s="35" t="n">
        <f aca="false">MIN(F80-F81,F85)</f>
        <v>158760.888697616</v>
      </c>
      <c r="G86" s="35" t="n">
        <f aca="false">MIN(G80-G81,G85)</f>
        <v>189218.22723622</v>
      </c>
    </row>
    <row r="87" customFormat="false" ht="15" hidden="false" customHeight="true" outlineLevel="0" collapsed="false">
      <c r="A87" s="13" t="s">
        <v>654</v>
      </c>
      <c r="C87" s="35" t="n">
        <f aca="false">C86-Inputs!$B$29</f>
        <v>126845</v>
      </c>
      <c r="D87" s="35" t="n">
        <f aca="false">D86-Inputs!$B$29</f>
        <v>131032.227153091</v>
      </c>
      <c r="E87" s="35" t="n">
        <f aca="false">E86-Inputs!$B$29</f>
        <v>133674.972831918</v>
      </c>
      <c r="F87" s="35" t="n">
        <f aca="false">F86-Inputs!$B$29</f>
        <v>153760.888697616</v>
      </c>
      <c r="G87" s="35" t="n">
        <f aca="false">G86-Inputs!$B$29</f>
        <v>184218.22723622</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136032.227153091</v>
      </c>
      <c r="D100" s="35" t="n">
        <f aca="false">D85+SUM($C97:D97)+SUM($C98:D98)-SUM($C99:D99)</f>
        <v>138674.972831918</v>
      </c>
      <c r="E100" s="35" t="n">
        <f aca="false">E85+SUM($C97:E97)+SUM($C98:E98)-SUM($C99:E99)</f>
        <v>158760.888697616</v>
      </c>
      <c r="F100" s="35" t="n">
        <f aca="false">F85+SUM($C97:F97)+SUM($C98:F98)-SUM($C99:F99)</f>
        <v>189218.22723622</v>
      </c>
      <c r="G100" s="35" t="n">
        <f aca="false">G85+SUM($C97:G97)+SUM($C98:G98)-SUM($C99:G99)</f>
        <v>233111.563029431</v>
      </c>
    </row>
    <row r="101" customFormat="false" ht="15" hidden="false" customHeight="true" outlineLevel="0" collapsed="false">
      <c r="A101" s="13" t="s">
        <v>668</v>
      </c>
      <c r="C101" s="35" t="n">
        <f aca="false">MIN(C80-C81+0+C97,C100)</f>
        <v>131845</v>
      </c>
      <c r="D101" s="35" t="n">
        <f aca="false">MIN(D80-D81+SUM($C97:C97)+SUM($C98:C98)-SUM($C99:C99)+D97,D100)</f>
        <v>136032.227153091</v>
      </c>
      <c r="E101" s="35" t="n">
        <f aca="false">MIN(E80-E81+SUM($C97:D97)+SUM($C98:D98)-SUM($C99:D99)+E97,E100)</f>
        <v>138674.972831918</v>
      </c>
      <c r="F101" s="35" t="n">
        <f aca="false">MIN(F80-F81+SUM($C97:E97)+SUM($C98:E98)-SUM($C99:E99)+F97,F100)</f>
        <v>158760.888697616</v>
      </c>
      <c r="G101" s="35" t="n">
        <f aca="false">MIN(G80-G81+SUM($C97:F97)+SUM($C98:F98)-SUM($C99:F99)+G97,G100)</f>
        <v>189218.22723622</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1449.55201698514</v>
      </c>
      <c r="D106" s="35" t="n">
        <f aca="false">D17+D35</f>
        <v>-5401.17520000001</v>
      </c>
      <c r="E106" s="35" t="n">
        <f aca="false">E17+E35</f>
        <v>15900.8316</v>
      </c>
      <c r="F106" s="35" t="n">
        <f aca="false">F17+F35</f>
        <v>36934.45562</v>
      </c>
      <c r="G106" s="35" t="n">
        <f aca="false">G17+G35</f>
        <v>62435.041475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1449.55201698514</v>
      </c>
      <c r="D109" s="36" t="n">
        <f aca="false">D106-D108</f>
        <v>-6284.66889600001</v>
      </c>
      <c r="E109" s="36" t="n">
        <f aca="false">E106-E108</f>
        <v>13260.168314</v>
      </c>
      <c r="F109" s="36" t="n">
        <f aca="false">F106-F108</f>
        <v>31819.462141</v>
      </c>
      <c r="G109" s="36" t="n">
        <f aca="false">G106-G108</f>
        <v>54099.446196625</v>
      </c>
    </row>
    <row r="110" customFormat="false" ht="15" hidden="false" customHeight="true" outlineLevel="0" collapsed="false">
      <c r="A110" s="13" t="s">
        <v>620</v>
      </c>
      <c r="C110" s="16" t="n">
        <f aca="false">IFERROR(C109/C105,0)</f>
        <v>0.0267237936835873</v>
      </c>
      <c r="D110" s="16" t="n">
        <f aca="false">IFERROR(D109/D105,0)</f>
        <v>-0.0569074249150048</v>
      </c>
      <c r="E110" s="16" t="n">
        <f aca="false">IFERROR(E109/E105,0)</f>
        <v>0.0754632244347003</v>
      </c>
      <c r="F110" s="16" t="n">
        <f aca="false">IFERROR(F109/F105,0)</f>
        <v>0.128598285835168</v>
      </c>
      <c r="G110" s="16" t="n">
        <f aca="false">IFERROR(G109/G105,0)</f>
        <v>0.167979308112924</v>
      </c>
    </row>
    <row r="111" customFormat="false" ht="15" hidden="false" customHeight="true" outlineLevel="0" collapsed="false">
      <c r="A111" s="13" t="s">
        <v>621</v>
      </c>
      <c r="C111" s="35" t="n">
        <f aca="false">Historicals!F43+Historicals!H13+C136*Inputs!$B$20/4</f>
        <v>3183.03125</v>
      </c>
      <c r="D111" s="35" t="n">
        <f aca="false">MAX(0,D136-D137)*Inputs!$B$20</f>
        <v>3400.80567882726</v>
      </c>
      <c r="E111" s="35" t="n">
        <f aca="false">MAX(0,E136-E137)*Inputs!$B$20</f>
        <v>3484.44872879795</v>
      </c>
      <c r="F111" s="35" t="n">
        <f aca="false">MAX(0,F136-F137)*Inputs!$B$20</f>
        <v>4030.55067170596</v>
      </c>
      <c r="G111" s="35" t="n">
        <f aca="false">MAX(0,G136-G137)*Inputs!$B$20</f>
        <v>4923.83960417511</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4632.58326698514</v>
      </c>
      <c r="D114" s="35" t="n">
        <f aca="false">D109+D111+D112-D113</f>
        <v>-2883.86321717274</v>
      </c>
      <c r="E114" s="35" t="n">
        <f aca="false">E109+E111+E112-E113</f>
        <v>16744.617042798</v>
      </c>
      <c r="F114" s="35" t="n">
        <f aca="false">F109+F111+F112-F113</f>
        <v>35850.012812706</v>
      </c>
      <c r="G114" s="35" t="n">
        <f aca="false">G109+G111+G112-G113</f>
        <v>59023.2858008001</v>
      </c>
    </row>
    <row r="115" customFormat="false" ht="15" hidden="false" customHeight="true" outlineLevel="0" collapsed="false">
      <c r="A115" s="13" t="s">
        <v>625</v>
      </c>
      <c r="C115" s="35" t="n">
        <f aca="false">C114*Inputs!$B$58</f>
        <v>3335.4599522293</v>
      </c>
      <c r="D115" s="35" t="n">
        <f aca="false">D114*Inputs!$B$58</f>
        <v>-2076.38151636438</v>
      </c>
      <c r="E115" s="35" t="n">
        <f aca="false">E114*Inputs!$B$58</f>
        <v>12056.1242708145</v>
      </c>
      <c r="F115" s="35" t="n">
        <f aca="false">F114*Inputs!$B$58</f>
        <v>25812.0092251483</v>
      </c>
      <c r="G115" s="35" t="n">
        <f aca="false">G114*Inputs!$B$58</f>
        <v>42496.7657765761</v>
      </c>
    </row>
    <row r="116" customFormat="false" ht="15" hidden="false" customHeight="true" outlineLevel="0" collapsed="false">
      <c r="A116" s="13" t="s">
        <v>626</v>
      </c>
      <c r="C116" s="35" t="n">
        <f aca="false">Inputs!$B$60</f>
        <v>4200</v>
      </c>
      <c r="D116" s="35" t="n">
        <f aca="false">C118</f>
        <v>4200</v>
      </c>
      <c r="E116" s="35" t="n">
        <f aca="false">D118</f>
        <v>6276.38151636438</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0</v>
      </c>
      <c r="E117" s="35" t="n">
        <f aca="false">IF(AND(2028=2026,Inputs!$B$61=1),0,MIN(E116,MAX(0,E115)))</f>
        <v>6276.38151636438</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6276.38151636438</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200.127597133758</v>
      </c>
      <c r="D119" s="35" t="n">
        <f aca="false">MAX(0,D115-D117)*Inputs!$B$59</f>
        <v>0</v>
      </c>
      <c r="E119" s="35" t="n">
        <f aca="false">MAX(0,E115-E117)*Inputs!$B$59</f>
        <v>346.78456526701</v>
      </c>
      <c r="F119" s="35" t="n">
        <f aca="false">MAX(0,F115-F117)*Inputs!$B$59</f>
        <v>1548.7205535089</v>
      </c>
      <c r="G119" s="35" t="n">
        <f aca="false">MAX(0,G115-G117)*Inputs!$B$59</f>
        <v>2549.80594659457</v>
      </c>
    </row>
    <row r="120" customFormat="false" ht="15" hidden="false" customHeight="true" outlineLevel="0" collapsed="false">
      <c r="A120" s="13" t="s">
        <v>630</v>
      </c>
      <c r="C120" s="35" t="n">
        <f aca="false">C114-C119</f>
        <v>4432.45566985139</v>
      </c>
      <c r="D120" s="35" t="n">
        <f aca="false">D114-D119</f>
        <v>-2883.86321717274</v>
      </c>
      <c r="E120" s="35" t="n">
        <f aca="false">E114-E119</f>
        <v>16397.832477531</v>
      </c>
      <c r="F120" s="35" t="n">
        <f aca="false">F114-F119</f>
        <v>34301.2922591971</v>
      </c>
      <c r="G120" s="35" t="n">
        <f aca="false">G114-G119</f>
        <v>56473.4798542056</v>
      </c>
    </row>
    <row r="121" customFormat="false" ht="15" hidden="false" customHeight="true" outlineLevel="0" collapsed="false">
      <c r="A121" s="13" t="s">
        <v>631</v>
      </c>
      <c r="C121" s="35" t="n">
        <f aca="false">Inputs!$B$56</f>
        <v>8200</v>
      </c>
      <c r="D121" s="35" t="n">
        <f aca="false">C123</f>
        <v>4654.03546411889</v>
      </c>
      <c r="E121" s="35" t="n">
        <f aca="false">D123</f>
        <v>7537.89868129164</v>
      </c>
      <c r="F121" s="35" t="n">
        <f aca="false">E123</f>
        <v>0</v>
      </c>
      <c r="G121" s="35" t="n">
        <f aca="false">F123</f>
        <v>0</v>
      </c>
    </row>
    <row r="122" customFormat="false" ht="15" hidden="false" customHeight="true" outlineLevel="0" collapsed="false">
      <c r="A122" s="13" t="s">
        <v>632</v>
      </c>
      <c r="C122" s="35" t="n">
        <f aca="false">MIN(C121,Inputs!$B$57*MAX(0,C120))</f>
        <v>3545.96453588111</v>
      </c>
      <c r="D122" s="35" t="n">
        <f aca="false">MIN(D121,Inputs!$B$57*MAX(0,D120))</f>
        <v>0</v>
      </c>
      <c r="E122" s="35" t="n">
        <f aca="false">MIN(E121,Inputs!$B$57*MAX(0,E120))</f>
        <v>7537.89868129164</v>
      </c>
      <c r="F122" s="35" t="n">
        <f aca="false">MIN(F121,Inputs!$B$57*MAX(0,F120))</f>
        <v>0</v>
      </c>
      <c r="G122" s="35" t="n">
        <f aca="false">MIN(G121,Inputs!$B$57*MAX(0,G120))</f>
        <v>0</v>
      </c>
    </row>
    <row r="123" customFormat="false" ht="15" hidden="false" customHeight="true" outlineLevel="0" collapsed="false">
      <c r="A123" s="13" t="s">
        <v>633</v>
      </c>
      <c r="C123" s="35" t="n">
        <f aca="false">C121-C122+MAX(0,-C120)</f>
        <v>4654.03546411889</v>
      </c>
      <c r="D123" s="35" t="n">
        <f aca="false">D121-D122+MAX(0,-D120)</f>
        <v>7537.89868129164</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186.163138133758</v>
      </c>
      <c r="D124" s="35" t="n">
        <f aca="false">MAX(0,D120-D122)*Inputs!$B$55</f>
        <v>0</v>
      </c>
      <c r="E124" s="35" t="n">
        <f aca="false">MAX(0,E120-E122)*Inputs!$B$55</f>
        <v>1860.58609721026</v>
      </c>
      <c r="F124" s="35" t="n">
        <f aca="false">MAX(0,F120-F122)*Inputs!$B$55</f>
        <v>7203.27137443138</v>
      </c>
      <c r="G124" s="35" t="n">
        <f aca="false">MAX(0,G120-G122)*Inputs!$B$55</f>
        <v>11859.4307693832</v>
      </c>
    </row>
    <row r="125" customFormat="false" ht="15" hidden="false" customHeight="true" outlineLevel="0" collapsed="false">
      <c r="A125" s="10" t="s">
        <v>635</v>
      </c>
      <c r="C125" s="36" t="n">
        <f aca="false">IF(Inputs!$S$105=0,MAX(0,C109+C111)*Inputs!B$66,IF(Inputs!$S$105=2,MAX(0,C114)*Inputs!$S$106,C119+C124))</f>
        <v>386.290735267516</v>
      </c>
      <c r="D125" s="36" t="n">
        <f aca="false">IF(Inputs!$S$105=0,MAX(0,D109+D111)*Inputs!C$66,IF(Inputs!$S$105=2,MAX(0,D114)*Inputs!$S$106,D119+D124))</f>
        <v>0</v>
      </c>
      <c r="E125" s="36" t="n">
        <f aca="false">IF(Inputs!$S$105=0,MAX(0,E109+E111)*Inputs!D$66,IF(Inputs!$S$105=2,MAX(0,E114)*Inputs!$S$106,E119+E124))</f>
        <v>2207.37066247727</v>
      </c>
      <c r="F125" s="36" t="n">
        <f aca="false">IF(Inputs!$S$105=0,MAX(0,F109+F111)*Inputs!E$66,IF(Inputs!$S$105=2,MAX(0,F114)*Inputs!$S$106,F119+F124))</f>
        <v>8751.99192794028</v>
      </c>
      <c r="G125" s="36" t="n">
        <f aca="false">IF(Inputs!$S$105=0,MAX(0,G109+G111)*Inputs!F$66,IF(Inputs!$S$105=2,MAX(0,G114)*Inputs!$S$106,G119+G124))</f>
        <v>14409.2367159777</v>
      </c>
    </row>
    <row r="126" customFormat="false" ht="15" hidden="false" customHeight="true" outlineLevel="0" collapsed="false">
      <c r="A126" s="13" t="s">
        <v>636</v>
      </c>
      <c r="C126" s="16" t="n">
        <f aca="false">IF(C114&gt;0,MIN(1,C125/C114),0)</f>
        <v>0.0833856</v>
      </c>
      <c r="D126" s="16" t="n">
        <f aca="false">IF(D114&gt;0,MIN(1,D125/D114),0)</f>
        <v>0</v>
      </c>
      <c r="E126" s="16" t="n">
        <f aca="false">IF(E114&gt;0,MIN(1,E125/E114),0)</f>
        <v>0.13182568803069</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4246.29253171763</v>
      </c>
      <c r="D127" s="35" t="n">
        <f aca="false">D109+D111-D125</f>
        <v>-2883.86321717274</v>
      </c>
      <c r="E127" s="35" t="n">
        <f aca="false">E109+E111-E125</f>
        <v>14537.2463803207</v>
      </c>
      <c r="F127" s="35" t="n">
        <f aca="false">F109+F111-F125</f>
        <v>27098.0208847657</v>
      </c>
      <c r="G127" s="35" t="n">
        <f aca="false">G109+G111-G125</f>
        <v>44614.0490848224</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9285.22715309059</v>
      </c>
      <c r="D131" s="36" t="n">
        <f aca="false">D109+D128+D108+D111-D125-D107+D129+D130</f>
        <v>3345.72199882726</v>
      </c>
      <c r="E131" s="36" t="n">
        <f aca="false">E109+E128+E108+E111-E125-E107+E129+E130</f>
        <v>21844.0777163207</v>
      </c>
      <c r="F131" s="36" t="n">
        <f aca="false">F109+F128+F108+F111-F125-F107+F129+F130</f>
        <v>35731.5572987657</v>
      </c>
      <c r="G131" s="36" t="n">
        <f aca="false">G109+G128+G108+G111-G125-G107+G129+G130</f>
        <v>53871.8431163224</v>
      </c>
    </row>
    <row r="132" customFormat="false" ht="15" hidden="false" customHeight="true" outlineLevel="0" collapsed="false">
      <c r="A132" s="10" t="s">
        <v>642</v>
      </c>
      <c r="C132" s="36" t="n">
        <f aca="false">C109+C108-(C125-C111*C126)-C107+C129+C130</f>
        <v>-298.579747682372</v>
      </c>
      <c r="D132" s="36" t="n">
        <f aca="false">D109+D108-(D125-D111*D126)-D107+D129+D130</f>
        <v>-9818.64368000001</v>
      </c>
      <c r="E132" s="36" t="n">
        <f aca="false">E109+E108-(E125-E111*E126)-E107+E129+E130</f>
        <v>5366.95283860421</v>
      </c>
      <c r="F132" s="36" t="n">
        <f aca="false">F109+F108-(F125-F111*F126)-F107+F129+F130</f>
        <v>16794.7830014419</v>
      </c>
      <c r="G132" s="36" t="n">
        <f aca="false">G109+G108-(G125-G111*G126)-G107+G129+G130</f>
        <v>33124.8428770353</v>
      </c>
    </row>
    <row r="133" customFormat="false" ht="15" hidden="false" customHeight="true" outlineLevel="0" collapsed="false">
      <c r="A133" s="13" t="s">
        <v>643</v>
      </c>
      <c r="C133" s="16" t="n">
        <f aca="false">IFERROR(C132/C105,0)</f>
        <v>-0.0055045858869948</v>
      </c>
      <c r="D133" s="16" t="n">
        <f aca="false">IFERROR(D132/D105,0)</f>
        <v>-0.0889074249150048</v>
      </c>
      <c r="E133" s="16" t="n">
        <f aca="false">IFERROR(E132/E105,0)</f>
        <v>0.0305431693625213</v>
      </c>
      <c r="F133" s="16" t="n">
        <f aca="false">IFERROR(F132/F105,0)</f>
        <v>0.0678760783381102</v>
      </c>
      <c r="G133" s="16" t="n">
        <f aca="false">IFERROR(G132/G105,0)</f>
        <v>0.102852960224588</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136032.227153091</v>
      </c>
      <c r="E136" s="35" t="n">
        <f aca="false">D141</f>
        <v>139377.949151918</v>
      </c>
      <c r="F136" s="35" t="n">
        <f aca="false">E141</f>
        <v>161222.026868239</v>
      </c>
      <c r="G136" s="35" t="n">
        <f aca="false">F141</f>
        <v>196953.584167004</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4187.22715309059</v>
      </c>
      <c r="D138" s="35" t="n">
        <f aca="false">D131</f>
        <v>3345.72199882726</v>
      </c>
      <c r="E138" s="35" t="n">
        <f aca="false">E131</f>
        <v>21844.0777163207</v>
      </c>
      <c r="F138" s="35" t="n">
        <f aca="false">F131</f>
        <v>35731.5572987657</v>
      </c>
      <c r="G138" s="35" t="n">
        <f aca="false">G131</f>
        <v>53871.8431163224</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136032.227153091</v>
      </c>
      <c r="D141" s="36" t="n">
        <f aca="false">D136+D138+D139+D140</f>
        <v>139377.949151918</v>
      </c>
      <c r="E141" s="36" t="n">
        <f aca="false">E136+E138+E139+E140</f>
        <v>161222.026868239</v>
      </c>
      <c r="F141" s="36" t="n">
        <f aca="false">F136+F138+F139+F140</f>
        <v>196953.584167004</v>
      </c>
      <c r="G141" s="36" t="n">
        <f aca="false">G136+G138+G139+G140</f>
        <v>250825.427283327</v>
      </c>
    </row>
    <row r="142" customFormat="false" ht="15" hidden="false" customHeight="true" outlineLevel="0" collapsed="false">
      <c r="A142" s="13" t="s">
        <v>653</v>
      </c>
      <c r="C142" s="35" t="n">
        <f aca="false">MIN(C136-C137,C141)</f>
        <v>131845</v>
      </c>
      <c r="D142" s="35" t="n">
        <f aca="false">MIN(D136-D137,D141)</f>
        <v>136032.227153091</v>
      </c>
      <c r="E142" s="35" t="n">
        <f aca="false">MIN(E136-E137,E141)</f>
        <v>139377.949151918</v>
      </c>
      <c r="F142" s="35" t="n">
        <f aca="false">MIN(F136-F137,F141)</f>
        <v>161222.026868239</v>
      </c>
      <c r="G142" s="35" t="n">
        <f aca="false">MIN(G136-G137,G141)</f>
        <v>196953.584167004</v>
      </c>
    </row>
    <row r="143" customFormat="false" ht="15" hidden="false" customHeight="true" outlineLevel="0" collapsed="false">
      <c r="A143" s="13" t="s">
        <v>654</v>
      </c>
      <c r="C143" s="35" t="n">
        <f aca="false">C142-Inputs!$B$29</f>
        <v>126845</v>
      </c>
      <c r="D143" s="35" t="n">
        <f aca="false">D142-Inputs!$B$29</f>
        <v>131032.227153091</v>
      </c>
      <c r="E143" s="35" t="n">
        <f aca="false">E142-Inputs!$B$29</f>
        <v>134377.949151918</v>
      </c>
      <c r="F143" s="35" t="n">
        <f aca="false">F142-Inputs!$B$29</f>
        <v>156222.026868239</v>
      </c>
      <c r="G143" s="35" t="n">
        <f aca="false">G142-Inputs!$B$29</f>
        <v>191953.584167004</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136032.227153091</v>
      </c>
      <c r="D156" s="35" t="n">
        <f aca="false">D141+SUM($C153:D153)+SUM($C154:D154)-SUM($C155:D155)</f>
        <v>139377.949151918</v>
      </c>
      <c r="E156" s="35" t="n">
        <f aca="false">E141+SUM($C153:E153)+SUM($C154:E154)-SUM($C155:E155)</f>
        <v>161222.026868239</v>
      </c>
      <c r="F156" s="35" t="n">
        <f aca="false">F141+SUM($C153:F153)+SUM($C154:F154)-SUM($C155:F155)</f>
        <v>196953.584167004</v>
      </c>
      <c r="G156" s="35" t="n">
        <f aca="false">G141+SUM($C153:G153)+SUM($C154:G154)-SUM($C155:G155)</f>
        <v>250825.427283327</v>
      </c>
    </row>
    <row r="157" customFormat="false" ht="15" hidden="false" customHeight="true" outlineLevel="0" collapsed="false">
      <c r="A157" s="13" t="s">
        <v>668</v>
      </c>
      <c r="C157" s="35" t="n">
        <f aca="false">MIN(C136-C137+0+C153,C156)</f>
        <v>131845</v>
      </c>
      <c r="D157" s="35" t="n">
        <f aca="false">MIN(D136-D137+SUM($C153:C153)+SUM($C154:C154)-SUM($C155:C155)+D153,D156)</f>
        <v>136032.227153091</v>
      </c>
      <c r="E157" s="35" t="n">
        <f aca="false">MIN(E136-E137+SUM($C153:D153)+SUM($C154:D154)-SUM($C155:D155)+E153,E156)</f>
        <v>139377.949151918</v>
      </c>
      <c r="F157" s="35" t="n">
        <f aca="false">MIN(F136-F137+SUM($C153:E153)+SUM($C154:E154)-SUM($C155:E155)+F153,F156)</f>
        <v>161222.026868239</v>
      </c>
      <c r="G157" s="35" t="n">
        <f aca="false">MIN(G136-G137+SUM($C153:F153)+SUM($C154:F154)-SUM($C155:F155)+G153,G156)</f>
        <v>196953.584167004</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Inputs!$B$19+Inputs!$S$104</f>
        <v>0.12</v>
      </c>
      <c r="G162" s="16" t="n">
        <f aca="false">Inputs!$B$19+Inputs!$S$104</f>
        <v>0.12</v>
      </c>
    </row>
    <row r="163" customFormat="false" ht="15" hidden="false" customHeight="true" outlineLevel="0" collapsed="false">
      <c r="A163" s="13" t="s">
        <v>673</v>
      </c>
      <c r="F163" s="35" t="n">
        <f aca="false">G53*(1-G70)</f>
        <v>29823.2458467736</v>
      </c>
      <c r="G163" s="35" t="n">
        <f aca="false">G109*(1-G126)</f>
        <v>40892.2565955354</v>
      </c>
    </row>
    <row r="164" customFormat="false" ht="15" hidden="false" customHeight="true" outlineLevel="0" collapsed="false">
      <c r="A164" s="13" t="s">
        <v>674</v>
      </c>
      <c r="F164" s="54" t="n">
        <f aca="false">Inputs!$S$102</f>
        <v>30</v>
      </c>
      <c r="G164" s="54" t="n">
        <f aca="false">Inputs!$S$102</f>
        <v>30</v>
      </c>
    </row>
    <row r="165" customFormat="false" ht="15" hidden="false" customHeight="true" outlineLevel="0" collapsed="false">
      <c r="A165" s="13" t="s">
        <v>675</v>
      </c>
      <c r="F165" s="35" t="n">
        <f aca="false">F163*F164</f>
        <v>894697.375403208</v>
      </c>
      <c r="G165" s="35" t="n">
        <f aca="false">G163*G164</f>
        <v>1226767.69786606</v>
      </c>
    </row>
    <row r="166" customFormat="false" ht="15" hidden="false" customHeight="true" outlineLevel="0" collapsed="false">
      <c r="A166" s="13" t="s">
        <v>676</v>
      </c>
      <c r="F166" s="35" t="n">
        <f aca="false">F165*$G$21</f>
        <v>568596.356770093</v>
      </c>
      <c r="G166" s="35" t="n">
        <f aca="false">G165*$G$21</f>
        <v>779633.049996957</v>
      </c>
    </row>
    <row r="167" customFormat="false" ht="15" hidden="false" customHeight="true" outlineLevel="0" collapsed="false">
      <c r="A167" s="13" t="s">
        <v>677</v>
      </c>
      <c r="F167" s="35" t="n">
        <f aca="false">SUMPRODUCT(D76:G76,$D$21:$G$21)-F162*SUMPRODUCT(D81:G81,$D$21:$G$21)</f>
        <v>16426.8852870604</v>
      </c>
      <c r="G167" s="35" t="n">
        <f aca="false">SUMPRODUCT(D132:G132,$D$21:$G$21)-G162*SUMPRODUCT(D137:G137,$D$21:$G$21)</f>
        <v>28517.4871005975</v>
      </c>
    </row>
    <row r="168" customFormat="false" ht="15" hidden="false" customHeight="true" outlineLevel="0" collapsed="false">
      <c r="A168" s="13" t="s">
        <v>678</v>
      </c>
      <c r="F168" s="35" t="n">
        <f aca="false">F166+F167</f>
        <v>585023.242057153</v>
      </c>
      <c r="G168" s="35" t="n">
        <f aca="false">G166+G167</f>
        <v>808150.537097555</v>
      </c>
    </row>
    <row r="169" customFormat="false" ht="15" hidden="false" customHeight="true" outlineLevel="0" collapsed="false">
      <c r="A169" s="13" t="s">
        <v>679</v>
      </c>
      <c r="F169" s="35" t="n">
        <f aca="false">(G76-G74)*Inputs!$S$103*$G$21</f>
        <v>414478.696537716</v>
      </c>
      <c r="G169" s="35" t="n">
        <f aca="false">(G132-G130)*Inputs!$S$103*$G$21</f>
        <v>589440.221794913</v>
      </c>
    </row>
    <row r="170" customFormat="false" ht="15" hidden="false" customHeight="true" outlineLevel="0" collapsed="false">
      <c r="A170" s="13" t="s">
        <v>680</v>
      </c>
      <c r="F170" s="35" t="n">
        <f aca="false">F167+F169</f>
        <v>430905.581824776</v>
      </c>
      <c r="G170" s="35" t="n">
        <f aca="false">G167+G169</f>
        <v>617957.70889551</v>
      </c>
    </row>
    <row r="171" customFormat="false" ht="15" hidden="false" customHeight="true" outlineLevel="0" collapsed="false">
      <c r="A171" s="13" t="s">
        <v>681</v>
      </c>
      <c r="F171" s="35" t="n">
        <f aca="false">F168*Inputs!$B$21+F170*(1-Inputs!$B$21)</f>
        <v>507964.411940965</v>
      </c>
      <c r="G171" s="35" t="n">
        <f aca="false">G168*Inputs!$B$21+G170*(1-Inputs!$B$21)</f>
        <v>713054.122996533</v>
      </c>
    </row>
    <row r="172" customFormat="false" ht="15" hidden="false" customHeight="true" outlineLevel="0" collapsed="false">
      <c r="A172" s="13" t="s">
        <v>682</v>
      </c>
      <c r="F172" s="16" t="n">
        <f aca="false">IFERROR(F166/F168,0)</f>
        <v>0.971920969790367</v>
      </c>
      <c r="G172" s="16" t="n">
        <f aca="false">IFERROR(G166/G168,0)</f>
        <v>0.964712654645981</v>
      </c>
    </row>
    <row r="173" customFormat="false" ht="15" hidden="false" customHeight="true" outlineLevel="0" collapsed="false">
      <c r="A173" s="13" t="s">
        <v>683</v>
      </c>
      <c r="F173" s="16" t="n">
        <f aca="false">IFERROR(F169/F170,0)</f>
        <v>0.961878225811101</v>
      </c>
      <c r="G173" s="16" t="n">
        <f aca="false">IFERROR(G169/G170,0)</f>
        <v>0.953852040859613</v>
      </c>
    </row>
    <row r="174" customFormat="false" ht="15" hidden="false" customHeight="true" outlineLevel="0" collapsed="false">
      <c r="A174" s="13" t="s">
        <v>684</v>
      </c>
      <c r="F174" s="35" t="n">
        <f aca="false">C85</f>
        <v>136032.227153091</v>
      </c>
      <c r="G174" s="35" t="n">
        <f aca="false">C141</f>
        <v>136032.227153091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643996.639094055</v>
      </c>
      <c r="G176" s="34" t="n">
        <f aca="false">G171+G174+G175</f>
        <v>849086.350149623</v>
      </c>
    </row>
    <row r="177" customFormat="false" ht="15" hidden="false" customHeight="true" outlineLevel="0" collapsed="false">
      <c r="A177" s="13" t="s">
        <v>687</v>
      </c>
      <c r="F177" s="35" t="n">
        <f aca="false">IF(F182="OK",F176,"unresolved")</f>
        <v>643996.639094055</v>
      </c>
      <c r="G177" s="35" t="n">
        <f aca="false">IF(G182="OK",G176,"unresolved")</f>
        <v>849086.350149623</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35.9031320266283</v>
      </c>
      <c r="G179" s="25" t="n">
        <f aca="false">IF(G182="OK",G176/G178,"n/a")</f>
        <v>47.3369851344482</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35.9031320266283</v>
      </c>
      <c r="G184" s="25" t="n">
        <f aca="false">IF(NOT(ISNUMBER(G179)),"unresolved",IF(G180=0,G179,(G176+G180/(1+G162)^IF(ISNUMBER(G149),MAX(0,G149-2027),0))/(G178+(G180/(1-Inputs!$B$31))/(G179*(1+G162)^IF(ISNUMBER(G149),MAX(0,G149-2027),0)*(1-0)))))</f>
        <v>47.3369851344482</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35.9031320266283</v>
      </c>
      <c r="G185" s="25" t="n">
        <f aca="false">IF(NOT(ISNUMBER(G179)),"unresolved",IF(G180=0,G179,(G176+G180/(1+G162)^IF(ISNUMBER(G149),MAX(0,G149-2027),0))/(G178+(G180/(1-Inputs!$B$31))/(G179*(1+G162)^IF(ISNUMBER(G149),MAX(0,G149-2027),0)*(1-Inputs!$B$30)))))</f>
        <v>47.3369851344482</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35.9031320266283</v>
      </c>
      <c r="G186" s="25" t="n">
        <f aca="false">IF(NOT(ISNUMBER(G179)),"unresolved",IF(G180=0,G179,(G176+G180/(1+G162)^IF(ISNUMBER(G149),MAX(0,G149-2027),0))/(G178+(G180/(1-Inputs!$B$31))/(G179*(1+G162)^IF(ISNUMBER(G149),MAX(0,G149-2027),0)*(1-0.3)))))</f>
        <v>47.3369851344482</v>
      </c>
    </row>
    <row r="187" customFormat="false" ht="15" hidden="false" customHeight="true" outlineLevel="0" collapsed="false">
      <c r="A187" s="13" t="s">
        <v>696</v>
      </c>
      <c r="F187" s="25" t="n">
        <f aca="false">F185</f>
        <v>35.9031320266283</v>
      </c>
      <c r="G187" s="25" t="n">
        <f aca="false">G185</f>
        <v>47.3369851344482</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35.9031320266283</v>
      </c>
      <c r="G189" s="12" t="n">
        <f aca="false">IF(ISNUMBER(G187),G187/(1+Inputs!$B$25)^G188,"unresolved")</f>
        <v>47.3369851344482</v>
      </c>
    </row>
    <row r="190" customFormat="false" ht="15" hidden="false" customHeight="true" outlineLevel="0" collapsed="false">
      <c r="A190" s="13" t="s">
        <v>699</v>
      </c>
      <c r="F190" s="25" t="n">
        <f aca="false">IF(F180=0,F189,"unresolved")</f>
        <v>35.9031320266283</v>
      </c>
      <c r="G190" s="25" t="n">
        <f aca="false">IF(G180=0,G189,"unresolved")</f>
        <v>47.3369851344482</v>
      </c>
    </row>
    <row r="191" customFormat="false" ht="15" hidden="false" customHeight="true" outlineLevel="0" collapsed="false">
      <c r="A191" s="13" t="s">
        <v>700</v>
      </c>
      <c r="F191" s="35" t="n">
        <f aca="false">IF(ISNUMBER(F179),F176+F180/(1+F162)^IF(ISNUMBER(G93),MAX(0,G93-2027),0),"unresolved")</f>
        <v>643996.639094055</v>
      </c>
      <c r="G191" s="35" t="n">
        <f aca="false">IF(ISNUMBER(G179),G176+G180/(1+G162)^IF(ISNUMBER(G149),MAX(0,G149-2027),0),"unresolved")</f>
        <v>849086.350149623</v>
      </c>
    </row>
    <row r="192" customFormat="false" ht="15" hidden="false" customHeight="true" outlineLevel="0" collapsed="false">
      <c r="A192" s="13" t="s">
        <v>701</v>
      </c>
      <c r="F192" s="28" t="n">
        <f aca="false">IFERROR(F191/D49,"n/a")</f>
        <v>5.93632829812742</v>
      </c>
      <c r="G192" s="28" t="n">
        <f aca="false">IFERROR(G191/D105,"n/a")</f>
        <v>7.68844286263813</v>
      </c>
    </row>
    <row r="193" customFormat="false" ht="15" hidden="false" customHeight="true" outlineLevel="0" collapsed="false">
      <c r="A193" s="13" t="s">
        <v>702</v>
      </c>
      <c r="F193" s="25" t="n">
        <f aca="false">(F168+F174)/F178</f>
        <v>40.1992000237704</v>
      </c>
      <c r="G193" s="25" t="n">
        <f aca="false">(G168+G174)/G178</f>
        <v>52.6386573846806</v>
      </c>
    </row>
    <row r="194" customFormat="false" ht="15" hidden="false" customHeight="true" outlineLevel="0" collapsed="false">
      <c r="A194" s="13" t="s">
        <v>703</v>
      </c>
      <c r="F194" s="25" t="n">
        <f aca="false">(F170+F174)/F178</f>
        <v>31.6070640294863</v>
      </c>
      <c r="G194" s="25" t="n">
        <f aca="false">(G170+G174)/G178</f>
        <v>42.0353128842157</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723</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Historicals!F35+(Inputs!$B$5+Inputs!$T$75)</f>
        <v>54242</v>
      </c>
      <c r="D5" s="35" t="n">
        <f aca="false">C5*(1+Inputs!$T$77)</f>
        <v>108484</v>
      </c>
      <c r="E5" s="35" t="n">
        <f aca="false">D5*(1+Inputs!$T$78)</f>
        <v>168150.2</v>
      </c>
      <c r="F5" s="35" t="n">
        <f aca="false">E5*(1+Inputs!$T$79)</f>
        <v>227002.77</v>
      </c>
      <c r="G5" s="35" t="n">
        <f aca="false">F5*(1+Inputs!$T$80)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Historicals!F51+(Inputs!$B$5+Inputs!$T$75)*Historicals!F51/Historicals!F35</f>
        <v>10731.163207663</v>
      </c>
      <c r="D7" s="35" t="n">
        <f aca="false">D5*Inputs!$T$76</f>
        <v>21696.8</v>
      </c>
      <c r="E7" s="35" t="n">
        <f aca="false">E5*Inputs!$T$76</f>
        <v>33630.04</v>
      </c>
      <c r="F7" s="35" t="n">
        <f aca="false">F5*Inputs!$T$76</f>
        <v>45400.554</v>
      </c>
      <c r="G7" s="35" t="n">
        <f aca="false">G5*Inputs!$T$76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Historicals!F36+Historicals!H6+Inputs!$T$75*Inputs!$T$81</f>
        <v>28258</v>
      </c>
      <c r="D9" s="35" t="n">
        <f aca="false">(C9-Inputs!$T$113)*(1+Inputs!$T$82)</f>
        <v>48038.6</v>
      </c>
      <c r="E9" s="35" t="n">
        <f aca="false">D9*(1+Inputs!$T$83)</f>
        <v>69655.97</v>
      </c>
      <c r="F9" s="35" t="n">
        <f aca="false">E9*(1+Inputs!$T$84)</f>
        <v>90552.761</v>
      </c>
      <c r="G9" s="35" t="n">
        <f aca="false">F9*(1+Inputs!$T$85)</f>
        <v>108663.3132</v>
      </c>
    </row>
    <row r="10" customFormat="false" ht="15" hidden="false" customHeight="true" outlineLevel="0" collapsed="false">
      <c r="A10" s="13" t="s">
        <v>219</v>
      </c>
      <c r="B10" s="41" t="n">
        <f aca="false">Historicals!D36</f>
        <v>7326</v>
      </c>
      <c r="C10" s="35" t="n">
        <f aca="false">Historicals!F36+Historicals!H6+MAX(Inputs!$T$75*Inputs!$T$81,Inputs!$T$108*C22)</f>
        <v>28258</v>
      </c>
      <c r="D10" s="35" t="n">
        <f aca="false">MAX(D9,Inputs!$T$108*D22)</f>
        <v>74257.40451195</v>
      </c>
      <c r="E10" s="35" t="n">
        <f aca="false">MAX(E9,Inputs!$T$108*E22)</f>
        <v>81708.4556622739</v>
      </c>
      <c r="F10" s="35" t="n">
        <f aca="false">MAX(F9,Inputs!$T$108*F22)</f>
        <v>90552.761</v>
      </c>
      <c r="G10" s="35" t="n">
        <f aca="false">MAX(G9,Inputs!$T$108*G22)</f>
        <v>108663.3132</v>
      </c>
    </row>
    <row r="11" customFormat="false" ht="15" hidden="false" customHeight="true" outlineLevel="0" collapsed="false">
      <c r="A11" s="13" t="s">
        <v>220</v>
      </c>
      <c r="B11" s="41" t="n">
        <f aca="false">Historicals!D37</f>
        <v>1839</v>
      </c>
      <c r="C11" s="35" t="n">
        <f aca="false">Historicals!F37+Historicals!H7+Inputs!$T$75*Historicals!H24</f>
        <v>6982.0728945506</v>
      </c>
      <c r="D11" s="35" t="n">
        <f aca="false">D5*Inputs!$T$86</f>
        <v>15187.76</v>
      </c>
      <c r="E11" s="35" t="n">
        <f aca="false">E5*Inputs!$T$87</f>
        <v>21859.526</v>
      </c>
      <c r="F11" s="35" t="n">
        <f aca="false">F5*Inputs!$T$88</f>
        <v>27240.3324</v>
      </c>
      <c r="G11" s="35" t="n">
        <f aca="false">G5*Inputs!$T$89</f>
        <v>31212.880875</v>
      </c>
    </row>
    <row r="12" customFormat="false" ht="15" hidden="false" customHeight="true" outlineLevel="0" collapsed="false">
      <c r="A12" s="13" t="s">
        <v>584</v>
      </c>
      <c r="B12" s="41" t="n">
        <f aca="false">Historicals!D49</f>
        <v>1158</v>
      </c>
      <c r="C12" s="35" t="n">
        <f aca="false">Historicals!F49+Historicals!H19+Inputs!$T$75*Historicals!H29</f>
        <v>4580.19462137297</v>
      </c>
      <c r="D12" s="35" t="n">
        <f aca="false">D5*Inputs!$T$90</f>
        <v>9763.56</v>
      </c>
      <c r="E12" s="35" t="n">
        <f aca="false">E5*Inputs!$T$91</f>
        <v>13452.016</v>
      </c>
      <c r="F12" s="35" t="n">
        <f aca="false">F5*Inputs!$T$92</f>
        <v>15890.1939</v>
      </c>
      <c r="G12" s="35" t="n">
        <f aca="false">G5*Inputs!$T$93</f>
        <v>17025.20775</v>
      </c>
    </row>
    <row r="13" customFormat="false" ht="15" hidden="false" customHeight="true" outlineLevel="0" collapsed="false">
      <c r="A13" s="13" t="s">
        <v>585</v>
      </c>
      <c r="B13" s="41" t="n">
        <f aca="false">Historicals!D39</f>
        <v>568</v>
      </c>
      <c r="C13" s="35" t="n">
        <f aca="false">Historicals!F39+Historicals!H9+Inputs!$T$75*Historicals!H25</f>
        <v>8453.09766454352</v>
      </c>
      <c r="D13" s="35" t="n">
        <f aca="false">D5*Inputs!$T$94</f>
        <v>18442.28</v>
      </c>
      <c r="E13" s="35" t="n">
        <f aca="false">E5*Inputs!$T$95</f>
        <v>26904.032</v>
      </c>
      <c r="F13" s="35" t="n">
        <f aca="false">F5*Inputs!$T$96</f>
        <v>34050.4155</v>
      </c>
      <c r="G13" s="35" t="n">
        <f aca="false">G5*Inputs!$T$97</f>
        <v>42563.019375</v>
      </c>
    </row>
    <row r="14" customFormat="false" ht="15" hidden="false" customHeight="true" outlineLevel="0" collapsed="false">
      <c r="A14" s="13" t="s">
        <v>586</v>
      </c>
      <c r="B14" s="41" t="n">
        <f aca="false">Historicals!D40</f>
        <v>1412</v>
      </c>
      <c r="C14" s="35" t="n">
        <f aca="false">Historicals!F40+Historicals!H10-Inputs!$B$37+Inputs!$T$75*(Historicals!H10-Inputs!$B$37)/Historicals!H5</f>
        <v>5358.27742392074</v>
      </c>
      <c r="D14" s="35" t="n">
        <f aca="false">D5*Inputs!$T$98</f>
        <v>8678.72</v>
      </c>
      <c r="E14" s="35" t="n">
        <f aca="false">E5*Inputs!$T$99</f>
        <v>11770.514</v>
      </c>
      <c r="F14" s="35" t="n">
        <f aca="false">F5*Inputs!$T$100</f>
        <v>13620.1662</v>
      </c>
      <c r="G14" s="35" t="n">
        <f aca="false">G5*Inputs!$T$101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116566.16451195</v>
      </c>
      <c r="E16" s="36" t="n">
        <f aca="false">E10+E11+E13+E14+E15</f>
        <v>142242.527662274</v>
      </c>
      <c r="F16" s="36" t="n">
        <f aca="false">F10+F11+F13+F14+F15</f>
        <v>165463.6751</v>
      </c>
      <c r="G16" s="36" t="n">
        <f aca="false">G10+G11+G13+G14+G15</f>
        <v>199464.4212</v>
      </c>
    </row>
    <row r="17" customFormat="false" ht="15" hidden="false" customHeight="true" outlineLevel="0" collapsed="false">
      <c r="A17" s="10" t="s">
        <v>588</v>
      </c>
      <c r="B17" s="34" t="n">
        <f aca="false">B5-B16</f>
        <v>-8060</v>
      </c>
      <c r="C17" s="34" t="n">
        <f aca="false">C5-C16</f>
        <v>3230.55201698514</v>
      </c>
      <c r="D17" s="34" t="n">
        <f aca="false">D5-D16</f>
        <v>-8082.16451194996</v>
      </c>
      <c r="E17" s="34" t="n">
        <f aca="false">E5-E16</f>
        <v>25907.6723377262</v>
      </c>
      <c r="F17" s="34" t="n">
        <f aca="false">F5-F16</f>
        <v>61539.0949</v>
      </c>
      <c r="G17" s="34" t="n">
        <f aca="false">G5-G16</f>
        <v>84289.0413</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-0.0745009818217429</v>
      </c>
      <c r="E18" s="16" t="n">
        <f aca="false">IFERROR(E17/E5,0)</f>
        <v>0.15407458532744</v>
      </c>
      <c r="F18" s="16" t="n">
        <f aca="false">IFERROR(F17/F5,0)</f>
        <v>0.271094026297565</v>
      </c>
      <c r="G18" s="16" t="n">
        <f aca="false">IFERROR(G17/G5,0)</f>
        <v>0.297050265245662</v>
      </c>
    </row>
    <row r="19" customFormat="false" ht="15" hidden="false" customHeight="true" outlineLevel="0" collapsed="false">
      <c r="A19" s="13" t="s">
        <v>590</v>
      </c>
      <c r="B19" s="16" t="n">
        <f aca="false">IFERROR(B10/B5,0)</f>
        <v>1.59781897491821</v>
      </c>
      <c r="C19" s="16" t="n">
        <f aca="false">IFERROR(C10/C5,0)</f>
        <v>0.52096161645957</v>
      </c>
      <c r="D19" s="16" t="n">
        <f aca="false">IFERROR(D10/D5,0)</f>
        <v>0.684500981821743</v>
      </c>
      <c r="E19" s="16" t="n">
        <f aca="false">IFERROR(E10/E5,0)</f>
        <v>0.48592541467256</v>
      </c>
      <c r="F19" s="16" t="n">
        <f aca="false">IFERROR(F10/F5,0)</f>
        <v>0.398905973702435</v>
      </c>
      <c r="G19" s="16" t="n">
        <f aca="false">IFERROR(G10/G5,0)</f>
        <v>0.382949734754338</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1/(1+Inputs!$B$19+Inputs!$T$104)^1</f>
        <v>0.892857142857143</v>
      </c>
      <c r="E21" s="53" t="n">
        <f aca="false">1/(1+Inputs!$B$19+Inputs!$T$104)^2</f>
        <v>0.79719387755102</v>
      </c>
      <c r="F21" s="53" t="n">
        <f aca="false">1/(1+Inputs!$B$19+Inputs!$T$104)^3</f>
        <v>0.711780247813411</v>
      </c>
      <c r="G21" s="53" t="n">
        <f aca="false">1/(1+Inputs!$B$19+Inputs!$T$104)^4</f>
        <v>0.635518078404831</v>
      </c>
    </row>
    <row r="22" customFormat="false" ht="15" hidden="false" customHeight="true" outlineLevel="0" collapsed="false">
      <c r="A22" s="13" t="s">
        <v>593</v>
      </c>
      <c r="C22" s="35" t="n">
        <f aca="false">Inputs!B$69+Inputs!$B$47*Inputs!$B$46</f>
        <v>11231</v>
      </c>
      <c r="D22" s="35" t="n">
        <f aca="false">Inputs!C$69+Inputs!$B$47*(1-Inputs!$B$46)+Inputs!$B$70*Inputs!$T$109</f>
        <v>97550</v>
      </c>
      <c r="E22" s="35" t="n">
        <f aca="false">Inputs!D$69+Inputs!$B$70*Inputs!$T$110</f>
        <v>107338.25</v>
      </c>
      <c r="F22" s="35" t="n">
        <f aca="false">Inputs!E$69+Inputs!$B$70*Inputs!$T$111</f>
        <v>117031.375</v>
      </c>
      <c r="G22" s="35" t="n">
        <f aca="false">Inputs!F$69+Inputs!$B$70*Inputs!$T$112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Inputs!$T$107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74257.40451195</v>
      </c>
      <c r="E44" s="35" t="n">
        <f aca="false">E10*Inputs!$B$39</f>
        <v>81708.4556622739</v>
      </c>
      <c r="F44" s="35" t="n">
        <f aca="false">F10*Inputs!$B$39</f>
        <v>90552.761</v>
      </c>
      <c r="G44" s="35" t="n">
        <f aca="false">G10*Inputs!$B$39</f>
        <v>108663.3132</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-8082.16451194996</v>
      </c>
      <c r="E50" s="35" t="n">
        <f aca="false">E17</f>
        <v>25907.6723377262</v>
      </c>
      <c r="F50" s="35" t="n">
        <f aca="false">F17</f>
        <v>61539.0949</v>
      </c>
      <c r="G50" s="35" t="n">
        <f aca="false">G17</f>
        <v>84289.0413</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-8950.03651194996</v>
      </c>
      <c r="E53" s="36" t="n">
        <f aca="false">E50-E52</f>
        <v>23358.2983377262</v>
      </c>
      <c r="F53" s="36" t="n">
        <f aca="false">F50-F52</f>
        <v>56719.6932</v>
      </c>
      <c r="G53" s="36" t="n">
        <f aca="false">G50-G52</f>
        <v>76632.104975</v>
      </c>
    </row>
    <row r="54" customFormat="false" ht="15" hidden="false" customHeight="true" outlineLevel="0" collapsed="false">
      <c r="A54" s="13" t="s">
        <v>620</v>
      </c>
      <c r="C54" s="16" t="n">
        <f aca="false">IFERROR(C53/C49,0)</f>
        <v>0.0595581287007327</v>
      </c>
      <c r="D54" s="16" t="n">
        <f aca="false">IFERROR(D53/D49,0)</f>
        <v>-0.0825009818217429</v>
      </c>
      <c r="E54" s="16" t="n">
        <f aca="false">IFERROR(E53/E49,0)</f>
        <v>0.13891329500486</v>
      </c>
      <c r="F54" s="16" t="n">
        <f aca="false">IFERROR(F53/F49,0)</f>
        <v>0.249863440873431</v>
      </c>
      <c r="G54" s="16" t="n">
        <f aca="false">IFERROR(G53/G49,0)</f>
        <v>0.270065796906355</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3461.2092705632</v>
      </c>
      <c r="F55" s="35" t="n">
        <f aca="false">MAX(0,F80-F81)*Inputs!$B$20</f>
        <v>4213.73175302106</v>
      </c>
      <c r="G55" s="35" t="n">
        <f aca="false">MAX(0,G80-G81)*Inputs!$B$20</f>
        <v>5599.16492517331</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-5508.41857696269</v>
      </c>
      <c r="E58" s="35" t="n">
        <f aca="false">E53+E55+E56-E57</f>
        <v>26819.5076082894</v>
      </c>
      <c r="F58" s="35" t="n">
        <f aca="false">F53+F55+F56-F57</f>
        <v>60933.4249530211</v>
      </c>
      <c r="G58" s="35" t="n">
        <f aca="false">G53+G55+G56-G57</f>
        <v>82231.2699001733</v>
      </c>
    </row>
    <row r="59" customFormat="false" ht="15" hidden="false" customHeight="true" outlineLevel="0" collapsed="false">
      <c r="A59" s="13" t="s">
        <v>625</v>
      </c>
      <c r="C59" s="35" t="n">
        <f aca="false">C58*Inputs!$B$58</f>
        <v>4617.7799522293</v>
      </c>
      <c r="D59" s="35" t="n">
        <f aca="false">D58*Inputs!$B$58</f>
        <v>-3966.06137541314</v>
      </c>
      <c r="E59" s="35" t="n">
        <f aca="false">E58*Inputs!$B$58</f>
        <v>19310.0454779683</v>
      </c>
      <c r="F59" s="35" t="n">
        <f aca="false">F58*Inputs!$B$58</f>
        <v>43872.0659661752</v>
      </c>
      <c r="G59" s="35" t="n">
        <f aca="false">G58*Inputs!$B$58</f>
        <v>59206.5143281248</v>
      </c>
    </row>
    <row r="60" customFormat="false" ht="15" hidden="false" customHeight="true" outlineLevel="0" collapsed="false">
      <c r="A60" s="13" t="s">
        <v>626</v>
      </c>
      <c r="C60" s="35" t="n">
        <f aca="false">Inputs!$B$60</f>
        <v>4200</v>
      </c>
      <c r="D60" s="35" t="n">
        <f aca="false">C62</f>
        <v>4200</v>
      </c>
      <c r="E60" s="35" t="n">
        <f aca="false">D62</f>
        <v>8166.06137541314</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0</v>
      </c>
      <c r="E61" s="35" t="n">
        <f aca="false">IF(AND(2028=2026,Inputs!$B$61=1),0,MIN(E60,MAX(0,E59)))</f>
        <v>8166.06137541314</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8166.06137541314</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0</v>
      </c>
      <c r="E63" s="35" t="n">
        <f aca="false">MAX(0,E59-E61)*Inputs!$B$59</f>
        <v>668.639046153312</v>
      </c>
      <c r="F63" s="35" t="n">
        <f aca="false">MAX(0,F59-F61)*Inputs!$B$59</f>
        <v>2632.32395797051</v>
      </c>
      <c r="G63" s="35" t="n">
        <f aca="false">MAX(0,G59-G61)*Inputs!$B$59</f>
        <v>3552.39085968749</v>
      </c>
    </row>
    <row r="64" customFormat="false" ht="15" hidden="false" customHeight="true" outlineLevel="0" collapsed="false">
      <c r="A64" s="13" t="s">
        <v>630</v>
      </c>
      <c r="C64" s="35" t="n">
        <f aca="false">C58-C63</f>
        <v>6136.51646985139</v>
      </c>
      <c r="D64" s="35" t="n">
        <f aca="false">D58-D63</f>
        <v>-5508.41857696269</v>
      </c>
      <c r="E64" s="35" t="n">
        <f aca="false">E58-E63</f>
        <v>26150.8685621361</v>
      </c>
      <c r="F64" s="35" t="n">
        <f aca="false">F58-F63</f>
        <v>58301.1009950506</v>
      </c>
      <c r="G64" s="35" t="n">
        <f aca="false">G58-G63</f>
        <v>78678.8790404858</v>
      </c>
    </row>
    <row r="65" customFormat="false" ht="15" hidden="false" customHeight="true" outlineLevel="0" collapsed="false">
      <c r="A65" s="13" t="s">
        <v>631</v>
      </c>
      <c r="C65" s="35" t="n">
        <f aca="false">Inputs!$B$56</f>
        <v>8200</v>
      </c>
      <c r="D65" s="35" t="n">
        <f aca="false">C67</f>
        <v>3290.78682411889</v>
      </c>
      <c r="E65" s="35" t="n">
        <f aca="false">D67</f>
        <v>8799.20540108159</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0</v>
      </c>
      <c r="E66" s="35" t="n">
        <f aca="false">MIN(E65,Inputs!$B$57*MAX(0,E64))</f>
        <v>8799.20540108159</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8799.20540108159</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0</v>
      </c>
      <c r="E68" s="35" t="n">
        <f aca="false">MAX(0,E64-E66)*Inputs!$B$55</f>
        <v>3643.84926382144</v>
      </c>
      <c r="F68" s="35" t="n">
        <f aca="false">MAX(0,F64-F66)*Inputs!$B$55</f>
        <v>12243.2312089606</v>
      </c>
      <c r="G68" s="35" t="n">
        <f aca="false">MAX(0,G64-G66)*Inputs!$B$55</f>
        <v>16522.564598502</v>
      </c>
    </row>
    <row r="69" customFormat="false" ht="15" hidden="false" customHeight="true" outlineLevel="0" collapsed="false">
      <c r="A69" s="10" t="s">
        <v>635</v>
      </c>
      <c r="C69" s="36" t="n">
        <f aca="false">IF(Inputs!$T$105=0,MAX(0,C53+C55)*Inputs!B$66,IF(Inputs!$T$105=2,MAX(0,C58)*Inputs!$T$106,C63+C68))</f>
        <v>534.800488867516</v>
      </c>
      <c r="D69" s="36" t="n">
        <f aca="false">IF(Inputs!$T$105=0,MAX(0,D53+D55)*Inputs!C$66,IF(Inputs!$T$105=2,MAX(0,D58)*Inputs!$T$106,D63+D68))</f>
        <v>0</v>
      </c>
      <c r="E69" s="36" t="n">
        <f aca="false">IF(Inputs!$T$105=0,MAX(0,E53+E55)*Inputs!D$66,IF(Inputs!$T$105=2,MAX(0,E58)*Inputs!$T$106,E63+E68))</f>
        <v>4312.48830997475</v>
      </c>
      <c r="F69" s="36" t="n">
        <f aca="false">IF(Inputs!$T$105=0,MAX(0,F53+F55)*Inputs!E$66,IF(Inputs!$T$105=2,MAX(0,F58)*Inputs!$T$106,F63+F68))</f>
        <v>14875.5551669311</v>
      </c>
      <c r="G69" s="36" t="n">
        <f aca="false">IF(Inputs!$T$105=0,MAX(0,G53+G55)*Inputs!F$66,IF(Inputs!$T$105=2,MAX(0,G58)*Inputs!$T$106,G63+G68))</f>
        <v>20074.9554581895</v>
      </c>
    </row>
    <row r="70" customFormat="false" ht="15" hidden="false" customHeight="true" outlineLevel="0" collapsed="false">
      <c r="A70" s="13" t="s">
        <v>636</v>
      </c>
      <c r="C70" s="16" t="n">
        <f aca="false">IF(C58&gt;0,MIN(1,C69/C58),0)</f>
        <v>0.0833856</v>
      </c>
      <c r="D70" s="16" t="n">
        <f aca="false">IF(D58&gt;0,MIN(1,D69/D58),0)</f>
        <v>0</v>
      </c>
      <c r="E70" s="16" t="n">
        <f aca="false">IF(E58&gt;0,MIN(1,E69/E58),0)</f>
        <v>0.160796699662072</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-5508.41857696269</v>
      </c>
      <c r="E71" s="35" t="n">
        <f aca="false">E53+E55-E69</f>
        <v>22507.0192983146</v>
      </c>
      <c r="F71" s="35" t="n">
        <f aca="false">F53+F55-F69</f>
        <v>46057.8697860899</v>
      </c>
      <c r="G71" s="35" t="n">
        <f aca="false">G53+G55-G69</f>
        <v>62156.3144419838</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783.653423037306</v>
      </c>
      <c r="E75" s="36" t="n">
        <f aca="false">E53+E72+E52+E55-E69-E51+E73+E74</f>
        <v>30100.8992983146</v>
      </c>
      <c r="F75" s="36" t="n">
        <f aca="false">F53+F72+F52+F55-F69-F51+F73+F74</f>
        <v>55417.3268860899</v>
      </c>
      <c r="G75" s="36" t="n">
        <f aca="false">G53+G72+G52+G55-G69-G51+G73+G74</f>
        <v>72650.7853919838</v>
      </c>
    </row>
    <row r="76" customFormat="false" ht="15" hidden="false" customHeight="true" outlineLevel="0" collapsed="false">
      <c r="A76" s="10" t="s">
        <v>642</v>
      </c>
      <c r="C76" s="36" t="n">
        <f aca="false">C53+C52-(C69-C55*C70)-C51+C73+C74</f>
        <v>1333.91049871763</v>
      </c>
      <c r="D76" s="36" t="n">
        <f aca="false">D53+D52-(D69-D55*D70)-D51+D73+D74</f>
        <v>-12421.52451195</v>
      </c>
      <c r="E76" s="36" t="n">
        <f aca="false">E53+E52-(E69-E55*E70)-E51+E73+E74</f>
        <v>13744.2250552977</v>
      </c>
      <c r="F76" s="36" t="n">
        <f aca="false">F53+F52-(F69-F55*F70)-F51+F73+F74</f>
        <v>36342.0911384704</v>
      </c>
      <c r="G76" s="36" t="n">
        <f aca="false">G53+G52-(G69-G55*G70)-G51+G73+G74</f>
        <v>51393.3256516632</v>
      </c>
    </row>
    <row r="77" customFormat="false" ht="15" hidden="false" customHeight="true" outlineLevel="0" collapsed="false">
      <c r="A77" s="13" t="s">
        <v>643</v>
      </c>
      <c r="C77" s="16" t="n">
        <f aca="false">IFERROR(C76/C49,0)</f>
        <v>0.0245918384041449</v>
      </c>
      <c r="D77" s="16" t="n">
        <f aca="false">IFERROR(D76/D49,0)</f>
        <v>-0.114500981821743</v>
      </c>
      <c r="E77" s="16" t="n">
        <f aca="false">IFERROR(E76/E49,0)</f>
        <v>0.0817377859514752</v>
      </c>
      <c r="F77" s="16" t="n">
        <f aca="false">IFERROR(F76/F49,0)</f>
        <v>0.160095364204016</v>
      </c>
      <c r="G77" s="16" t="n">
        <f aca="false">IFERROR(G76/G49,0)</f>
        <v>0.181119642378507</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138448.370822528</v>
      </c>
      <c r="F80" s="35" t="n">
        <f aca="false">E85</f>
        <v>168549.270120843</v>
      </c>
      <c r="G80" s="35" t="n">
        <f aca="false">F85</f>
        <v>223966.597006932</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783.653423037306</v>
      </c>
      <c r="E82" s="35" t="n">
        <f aca="false">E75</f>
        <v>30100.8992983146</v>
      </c>
      <c r="F82" s="35" t="n">
        <f aca="false">F75</f>
        <v>55417.3268860899</v>
      </c>
      <c r="G82" s="35" t="n">
        <f aca="false">G75</f>
        <v>72650.7853919838</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138448.370822528</v>
      </c>
      <c r="E85" s="36" t="n">
        <f aca="false">E80+E82+E83+E84</f>
        <v>168549.270120843</v>
      </c>
      <c r="F85" s="36" t="n">
        <f aca="false">F80+F82+F83+F84</f>
        <v>223966.597006932</v>
      </c>
      <c r="G85" s="36" t="n">
        <f aca="false">G80+G82+G83+G84</f>
        <v>296617.382398916</v>
      </c>
    </row>
    <row r="86" customFormat="false" ht="15" hidden="false" customHeight="true" outlineLevel="0" collapsed="false">
      <c r="A86" s="13" t="s">
        <v>653</v>
      </c>
      <c r="C86" s="35" t="n">
        <f aca="false">MIN(C80-C81,C85)</f>
        <v>131845</v>
      </c>
      <c r="D86" s="35" t="n">
        <f aca="false">MIN(D80-D81,D85)</f>
        <v>137664.717399491</v>
      </c>
      <c r="E86" s="35" t="n">
        <f aca="false">MIN(E80-E81,E85)</f>
        <v>138448.370822528</v>
      </c>
      <c r="F86" s="35" t="n">
        <f aca="false">MIN(F80-F81,F85)</f>
        <v>168549.270120843</v>
      </c>
      <c r="G86" s="35" t="n">
        <f aca="false">MIN(G80-G81,G85)</f>
        <v>223966.597006932</v>
      </c>
    </row>
    <row r="87" customFormat="false" ht="15" hidden="false" customHeight="true" outlineLevel="0" collapsed="false">
      <c r="A87" s="13" t="s">
        <v>654</v>
      </c>
      <c r="C87" s="35" t="n">
        <f aca="false">C86-Inputs!$B$29</f>
        <v>126845</v>
      </c>
      <c r="D87" s="35" t="n">
        <f aca="false">D86-Inputs!$B$29</f>
        <v>132664.717399491</v>
      </c>
      <c r="E87" s="35" t="n">
        <f aca="false">E86-Inputs!$B$29</f>
        <v>133448.370822528</v>
      </c>
      <c r="F87" s="35" t="n">
        <f aca="false">F86-Inputs!$B$29</f>
        <v>163549.270120843</v>
      </c>
      <c r="G87" s="35" t="n">
        <f aca="false">G86-Inputs!$B$29</f>
        <v>218966.597006932</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138448.370822528</v>
      </c>
      <c r="E100" s="35" t="n">
        <f aca="false">E85+SUM($C97:E97)+SUM($C98:E98)-SUM($C99:E99)</f>
        <v>168549.270120843</v>
      </c>
      <c r="F100" s="35" t="n">
        <f aca="false">F85+SUM($C97:F97)+SUM($C98:F98)-SUM($C99:F99)</f>
        <v>223966.597006932</v>
      </c>
      <c r="G100" s="35" t="n">
        <f aca="false">G85+SUM($C97:G97)+SUM($C98:G98)-SUM($C99:G99)</f>
        <v>296617.382398916</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138448.370822528</v>
      </c>
      <c r="F101" s="35" t="n">
        <f aca="false">MIN(F80-F81+SUM($C97:E97)+SUM($C98:E98)-SUM($C99:E99)+F97,F100)</f>
        <v>168549.270120843</v>
      </c>
      <c r="G101" s="35" t="n">
        <f aca="false">MIN(G80-G81+SUM($C97:F97)+SUM($C98:F98)-SUM($C99:F99)+G97,G100)</f>
        <v>223966.597006932</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-7301.07971194996</v>
      </c>
      <c r="E106" s="35" t="n">
        <f aca="false">E17+E35</f>
        <v>28934.3759377262</v>
      </c>
      <c r="F106" s="35" t="n">
        <f aca="false">F17+F35</f>
        <v>69711.19462</v>
      </c>
      <c r="G106" s="35" t="n">
        <f aca="false">G17+G35</f>
        <v>99611.728275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-8184.57340794996</v>
      </c>
      <c r="E109" s="36" t="n">
        <f aca="false">E106-E108</f>
        <v>26293.7126517262</v>
      </c>
      <c r="F109" s="36" t="n">
        <f aca="false">F106-F108</f>
        <v>64596.201141</v>
      </c>
      <c r="G109" s="36" t="n">
        <f aca="false">G106-G108</f>
        <v>91276.132996625</v>
      </c>
    </row>
    <row r="110" customFormat="false" ht="15" hidden="false" customHeight="true" outlineLevel="0" collapsed="false">
      <c r="A110" s="13" t="s">
        <v>620</v>
      </c>
      <c r="C110" s="16" t="n">
        <f aca="false">IFERROR(C109/C105,0)</f>
        <v>0.0595581287007327</v>
      </c>
      <c r="D110" s="16" t="n">
        <f aca="false">IFERROR(D109/D105,0)</f>
        <v>-0.0741109841078025</v>
      </c>
      <c r="E110" s="16" t="n">
        <f aca="false">IFERROR(E109/E105,0)</f>
        <v>0.149636738544549</v>
      </c>
      <c r="F110" s="16" t="n">
        <f aca="false">IFERROR(F109/F105,0)</f>
        <v>0.261065403977795</v>
      </c>
      <c r="G110" s="16" t="n">
        <f aca="false">IFERROR(G109/G105,0)</f>
        <v>0.283413283238985</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3478.7836785632</v>
      </c>
      <c r="F111" s="35" t="n">
        <f aca="false">MAX(0,F136-F137)*Inputs!$B$20</f>
        <v>4275.26020728662</v>
      </c>
      <c r="G111" s="35" t="n">
        <f aca="false">MAX(0,G136-G137)*Inputs!$B$20</f>
        <v>5792.54884844292</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-4742.95547296269</v>
      </c>
      <c r="E114" s="35" t="n">
        <f aca="false">E109+E111+E112-E113</f>
        <v>29772.4963302894</v>
      </c>
      <c r="F114" s="35" t="n">
        <f aca="false">F109+F111+F112-F113</f>
        <v>68871.4613482866</v>
      </c>
      <c r="G114" s="35" t="n">
        <f aca="false">G109+G111+G112-G113</f>
        <v>97068.6818450679</v>
      </c>
    </row>
    <row r="115" customFormat="false" ht="15" hidden="false" customHeight="true" outlineLevel="0" collapsed="false">
      <c r="A115" s="13" t="s">
        <v>625</v>
      </c>
      <c r="C115" s="35" t="n">
        <f aca="false">C114*Inputs!$B$58</f>
        <v>4617.7799522293</v>
      </c>
      <c r="D115" s="35" t="n">
        <f aca="false">D114*Inputs!$B$58</f>
        <v>-3414.92794053314</v>
      </c>
      <c r="E115" s="35" t="n">
        <f aca="false">E114*Inputs!$B$58</f>
        <v>21436.1973578083</v>
      </c>
      <c r="F115" s="35" t="n">
        <f aca="false">F114*Inputs!$B$58</f>
        <v>49587.4521707664</v>
      </c>
      <c r="G115" s="35" t="n">
        <f aca="false">G114*Inputs!$B$58</f>
        <v>69889.4509284489</v>
      </c>
    </row>
    <row r="116" customFormat="false" ht="15" hidden="false" customHeight="true" outlineLevel="0" collapsed="false">
      <c r="A116" s="13" t="s">
        <v>626</v>
      </c>
      <c r="C116" s="35" t="n">
        <f aca="false">Inputs!$B$60</f>
        <v>4200</v>
      </c>
      <c r="D116" s="35" t="n">
        <f aca="false">C118</f>
        <v>4200</v>
      </c>
      <c r="E116" s="35" t="n">
        <f aca="false">D118</f>
        <v>7614.92794053314</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0</v>
      </c>
      <c r="E117" s="35" t="n">
        <f aca="false">IF(AND(2028=2026,Inputs!$B$61=1),0,MIN(E116,MAX(0,E115)))</f>
        <v>7614.92794053314</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7614.92794053314</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0</v>
      </c>
      <c r="E119" s="35" t="n">
        <f aca="false">MAX(0,E115-E117)*Inputs!$B$59</f>
        <v>829.276165036512</v>
      </c>
      <c r="F119" s="35" t="n">
        <f aca="false">MAX(0,F115-F117)*Inputs!$B$59</f>
        <v>2975.24713024598</v>
      </c>
      <c r="G119" s="35" t="n">
        <f aca="false">MAX(0,G115-G117)*Inputs!$B$59</f>
        <v>4193.36705570693</v>
      </c>
    </row>
    <row r="120" customFormat="false" ht="15" hidden="false" customHeight="true" outlineLevel="0" collapsed="false">
      <c r="A120" s="13" t="s">
        <v>630</v>
      </c>
      <c r="C120" s="35" t="n">
        <f aca="false">C114-C119</f>
        <v>6136.51646985139</v>
      </c>
      <c r="D120" s="35" t="n">
        <f aca="false">D114-D119</f>
        <v>-4742.95547296269</v>
      </c>
      <c r="E120" s="35" t="n">
        <f aca="false">E114-E119</f>
        <v>28943.2201652529</v>
      </c>
      <c r="F120" s="35" t="n">
        <f aca="false">F114-F119</f>
        <v>65896.2142180406</v>
      </c>
      <c r="G120" s="35" t="n">
        <f aca="false">G114-G119</f>
        <v>92875.314789361</v>
      </c>
    </row>
    <row r="121" customFormat="false" ht="15" hidden="false" customHeight="true" outlineLevel="0" collapsed="false">
      <c r="A121" s="13" t="s">
        <v>631</v>
      </c>
      <c r="C121" s="35" t="n">
        <f aca="false">Inputs!$B$56</f>
        <v>8200</v>
      </c>
      <c r="D121" s="35" t="n">
        <f aca="false">C123</f>
        <v>3290.78682411889</v>
      </c>
      <c r="E121" s="35" t="n">
        <f aca="false">D123</f>
        <v>8033.74229708159</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0</v>
      </c>
      <c r="E122" s="35" t="n">
        <f aca="false">MIN(E121,Inputs!$B$57*MAX(0,E120))</f>
        <v>8033.74229708159</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8033.74229708159</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0</v>
      </c>
      <c r="E124" s="35" t="n">
        <f aca="false">MAX(0,E120-E122)*Inputs!$B$55</f>
        <v>4390.99035231597</v>
      </c>
      <c r="F124" s="35" t="n">
        <f aca="false">MAX(0,F120-F122)*Inputs!$B$55</f>
        <v>13838.2049857885</v>
      </c>
      <c r="G124" s="35" t="n">
        <f aca="false">MAX(0,G120-G122)*Inputs!$B$55</f>
        <v>19503.8161057658</v>
      </c>
    </row>
    <row r="125" customFormat="false" ht="15" hidden="false" customHeight="true" outlineLevel="0" collapsed="false">
      <c r="A125" s="10" t="s">
        <v>635</v>
      </c>
      <c r="C125" s="36" t="n">
        <f aca="false">IF(Inputs!$T$105=0,MAX(0,C109+C111)*Inputs!B$66,IF(Inputs!$T$105=2,MAX(0,C114)*Inputs!$T$106,C119+C124))</f>
        <v>534.800488867516</v>
      </c>
      <c r="D125" s="36" t="n">
        <f aca="false">IF(Inputs!$T$105=0,MAX(0,D109+D111)*Inputs!C$66,IF(Inputs!$T$105=2,MAX(0,D114)*Inputs!$T$106,D119+D124))</f>
        <v>0</v>
      </c>
      <c r="E125" s="36" t="n">
        <f aca="false">IF(Inputs!$T$105=0,MAX(0,E109+E111)*Inputs!D$66,IF(Inputs!$T$105=2,MAX(0,E114)*Inputs!$T$106,E119+E124))</f>
        <v>5220.26651735248</v>
      </c>
      <c r="F125" s="36" t="n">
        <f aca="false">IF(Inputs!$T$105=0,MAX(0,F109+F111)*Inputs!E$66,IF(Inputs!$T$105=2,MAX(0,F114)*Inputs!$T$106,F119+F124))</f>
        <v>16813.4521160345</v>
      </c>
      <c r="G125" s="36" t="n">
        <f aca="false">IF(Inputs!$T$105=0,MAX(0,G109+G111)*Inputs!F$66,IF(Inputs!$T$105=2,MAX(0,G114)*Inputs!$T$106,G119+G124))</f>
        <v>23697.1831614727</v>
      </c>
    </row>
    <row r="126" customFormat="false" ht="15" hidden="false" customHeight="true" outlineLevel="0" collapsed="false">
      <c r="A126" s="13" t="s">
        <v>636</v>
      </c>
      <c r="C126" s="16" t="n">
        <f aca="false">IF(C114&gt;0,MIN(1,C125/C114),0)</f>
        <v>0.0833856</v>
      </c>
      <c r="D126" s="16" t="n">
        <f aca="false">IF(D114&gt;0,MIN(1,D125/D114),0)</f>
        <v>0</v>
      </c>
      <c r="E126" s="16" t="n">
        <f aca="false">IF(E114&gt;0,MIN(1,E125/E114),0)</f>
        <v>0.175338556076723</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-4742.95547296269</v>
      </c>
      <c r="E127" s="35" t="n">
        <f aca="false">E109+E111-E125</f>
        <v>24552.2298129369</v>
      </c>
      <c r="F127" s="35" t="n">
        <f aca="false">F109+F111-F125</f>
        <v>52058.0092322521</v>
      </c>
      <c r="G127" s="35" t="n">
        <f aca="false">G109+G111-G125</f>
        <v>73371.4986835952</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1486.62974303731</v>
      </c>
      <c r="E131" s="36" t="n">
        <f aca="false">E109+E128+E108+E111-E125-E107+E129+E130</f>
        <v>31859.0611489369</v>
      </c>
      <c r="F131" s="36" t="n">
        <f aca="false">F109+F128+F108+F111-F125-F107+F129+F130</f>
        <v>60691.5456462521</v>
      </c>
      <c r="G131" s="36" t="n">
        <f aca="false">G109+G128+G108+G111-G125-G107+G129+G130</f>
        <v>82629.2927150952</v>
      </c>
    </row>
    <row r="132" customFormat="false" ht="15" hidden="false" customHeight="true" outlineLevel="0" collapsed="false">
      <c r="A132" s="10" t="s">
        <v>642</v>
      </c>
      <c r="C132" s="36" t="n">
        <f aca="false">C109+C108-(C125-C111*C126)-C107+C129+C130</f>
        <v>1333.91049871763</v>
      </c>
      <c r="D132" s="36" t="n">
        <f aca="false">D109+D108-(D125-D111*D126)-D107+D129+D130</f>
        <v>-11718.54819195</v>
      </c>
      <c r="E132" s="36" t="n">
        <f aca="false">E109+E108-(E125-E111*E126)-E107+E129+E130</f>
        <v>15538.2263774762</v>
      </c>
      <c r="F132" s="36" t="n">
        <f aca="false">F109+F108-(F125-F111*F126)-F107+F129+F130</f>
        <v>41569.8022628499</v>
      </c>
      <c r="G132" s="36" t="n">
        <f aca="false">G109+G108-(G125-G111*G126)-G107+G129+G130</f>
        <v>61225.6594819249</v>
      </c>
    </row>
    <row r="133" customFormat="false" ht="15" hidden="false" customHeight="true" outlineLevel="0" collapsed="false">
      <c r="A133" s="13" t="s">
        <v>643</v>
      </c>
      <c r="C133" s="16" t="n">
        <f aca="false">IFERROR(C132/C105,0)</f>
        <v>0.0245918384041449</v>
      </c>
      <c r="D133" s="16" t="n">
        <f aca="false">IFERROR(D132/D105,0)</f>
        <v>-0.106110984107802</v>
      </c>
      <c r="E133" s="16" t="n">
        <f aca="false">IFERROR(E132/E105,0)</f>
        <v>0.0884275852820571</v>
      </c>
      <c r="F133" s="16" t="n">
        <f aca="false">IFERROR(F132/F105,0)</f>
        <v>0.168004263862814</v>
      </c>
      <c r="G133" s="16" t="n">
        <f aca="false">IFERROR(G132/G105,0)</f>
        <v>0.190106269871074</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139151.347142528</v>
      </c>
      <c r="F136" s="35" t="n">
        <f aca="false">E141</f>
        <v>171010.408291465</v>
      </c>
      <c r="G136" s="35" t="n">
        <f aca="false">F141</f>
        <v>231701.953937717</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1486.62974303731</v>
      </c>
      <c r="E138" s="35" t="n">
        <f aca="false">E131</f>
        <v>31859.0611489369</v>
      </c>
      <c r="F138" s="35" t="n">
        <f aca="false">F131</f>
        <v>60691.5456462521</v>
      </c>
      <c r="G138" s="35" t="n">
        <f aca="false">G131</f>
        <v>82629.2927150952</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139151.347142528</v>
      </c>
      <c r="E141" s="36" t="n">
        <f aca="false">E136+E138+E139+E140</f>
        <v>171010.408291465</v>
      </c>
      <c r="F141" s="36" t="n">
        <f aca="false">F136+F138+F139+F140</f>
        <v>231701.953937717</v>
      </c>
      <c r="G141" s="36" t="n">
        <f aca="false">G136+G138+G139+G140</f>
        <v>314331.246652812</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139151.347142528</v>
      </c>
      <c r="F142" s="35" t="n">
        <f aca="false">MIN(F136-F137,F141)</f>
        <v>171010.408291465</v>
      </c>
      <c r="G142" s="35" t="n">
        <f aca="false">MIN(G136-G137,G141)</f>
        <v>231701.953937717</v>
      </c>
    </row>
    <row r="143" customFormat="false" ht="15" hidden="false" customHeight="true" outlineLevel="0" collapsed="false">
      <c r="A143" s="13" t="s">
        <v>654</v>
      </c>
      <c r="C143" s="35" t="n">
        <f aca="false">C142-Inputs!$B$29</f>
        <v>126845</v>
      </c>
      <c r="D143" s="35" t="n">
        <f aca="false">D142-Inputs!$B$29</f>
        <v>132664.717399491</v>
      </c>
      <c r="E143" s="35" t="n">
        <f aca="false">E142-Inputs!$B$29</f>
        <v>134151.347142528</v>
      </c>
      <c r="F143" s="35" t="n">
        <f aca="false">F142-Inputs!$B$29</f>
        <v>166010.408291465</v>
      </c>
      <c r="G143" s="35" t="n">
        <f aca="false">G142-Inputs!$B$29</f>
        <v>226701.953937717</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139151.347142528</v>
      </c>
      <c r="E156" s="35" t="n">
        <f aca="false">E141+SUM($C153:E153)+SUM($C154:E154)-SUM($C155:E155)</f>
        <v>171010.408291465</v>
      </c>
      <c r="F156" s="35" t="n">
        <f aca="false">F141+SUM($C153:F153)+SUM($C154:F154)-SUM($C155:F155)</f>
        <v>231701.953937717</v>
      </c>
      <c r="G156" s="35" t="n">
        <f aca="false">G141+SUM($C153:G153)+SUM($C154:G154)-SUM($C155:G155)</f>
        <v>314331.246652812</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139151.347142528</v>
      </c>
      <c r="F157" s="35" t="n">
        <f aca="false">MIN(F136-F137+SUM($C153:E153)+SUM($C154:E154)-SUM($C155:E155)+F153,F156)</f>
        <v>171010.408291465</v>
      </c>
      <c r="G157" s="35" t="n">
        <f aca="false">MIN(G136-G137+SUM($C153:F153)+SUM($C154:F154)-SUM($C155:F155)+G153,G156)</f>
        <v>231701.953937717</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Inputs!$B$19+Inputs!$T$104</f>
        <v>0.12</v>
      </c>
      <c r="G162" s="16" t="n">
        <f aca="false">Inputs!$B$19+Inputs!$T$104</f>
        <v>0.12</v>
      </c>
    </row>
    <row r="163" customFormat="false" ht="15" hidden="false" customHeight="true" outlineLevel="0" collapsed="false">
      <c r="A163" s="13" t="s">
        <v>673</v>
      </c>
      <c r="F163" s="35" t="n">
        <f aca="false">G53*(1-G70)</f>
        <v>57924.0624516632</v>
      </c>
      <c r="G163" s="35" t="n">
        <f aca="false">G109*(1-G126)</f>
        <v>68993.0732004249</v>
      </c>
    </row>
    <row r="164" customFormat="false" ht="15" hidden="false" customHeight="true" outlineLevel="0" collapsed="false">
      <c r="A164" s="13" t="s">
        <v>674</v>
      </c>
      <c r="F164" s="54" t="n">
        <f aca="false">Inputs!$T$102</f>
        <v>30</v>
      </c>
      <c r="G164" s="54" t="n">
        <f aca="false">Inputs!$T$102</f>
        <v>30</v>
      </c>
    </row>
    <row r="165" customFormat="false" ht="15" hidden="false" customHeight="true" outlineLevel="0" collapsed="false">
      <c r="A165" s="13" t="s">
        <v>675</v>
      </c>
      <c r="F165" s="35" t="n">
        <f aca="false">F163*F164</f>
        <v>1737721.8735499</v>
      </c>
      <c r="G165" s="35" t="n">
        <f aca="false">G163*G164</f>
        <v>2069792.19601275</v>
      </c>
    </row>
    <row r="166" customFormat="false" ht="15" hidden="false" customHeight="true" outlineLevel="0" collapsed="false">
      <c r="A166" s="13" t="s">
        <v>676</v>
      </c>
      <c r="F166" s="35" t="n">
        <f aca="false">F165*$G$21</f>
        <v>1104353.66588047</v>
      </c>
      <c r="G166" s="35" t="n">
        <f aca="false">G165*$G$21</f>
        <v>1315390.35910734</v>
      </c>
    </row>
    <row r="167" customFormat="false" ht="15" hidden="false" customHeight="true" outlineLevel="0" collapsed="false">
      <c r="A167" s="13" t="s">
        <v>677</v>
      </c>
      <c r="F167" s="35" t="n">
        <f aca="false">SUMPRODUCT(D76:G76,$D$21:$G$21)-F162*SUMPRODUCT(D81:G81,$D$21:$G$21)</f>
        <v>58395.1353776738</v>
      </c>
      <c r="G167" s="35" t="n">
        <f aca="false">SUMPRODUCT(D132:G132,$D$21:$G$21)-G162*SUMPRODUCT(D137:G137,$D$21:$G$21)</f>
        <v>70422.5670982549</v>
      </c>
    </row>
    <row r="168" customFormat="false" ht="15" hidden="false" customHeight="true" outlineLevel="0" collapsed="false">
      <c r="A168" s="13" t="s">
        <v>678</v>
      </c>
      <c r="F168" s="35" t="n">
        <f aca="false">F166+F167</f>
        <v>1162748.80125815</v>
      </c>
      <c r="G168" s="35" t="n">
        <f aca="false">G166+G167</f>
        <v>1385812.92620559</v>
      </c>
    </row>
    <row r="169" customFormat="false" ht="15" hidden="false" customHeight="true" outlineLevel="0" collapsed="false">
      <c r="A169" s="13" t="s">
        <v>679</v>
      </c>
      <c r="F169" s="35" t="n">
        <f aca="false">(G76-G74)*Inputs!$T$103*$G$21</f>
        <v>914518.851707404</v>
      </c>
      <c r="G169" s="35" t="n">
        <f aca="false">(G132-G130)*Inputs!$T$103*$G$21</f>
        <v>1089480.3769646</v>
      </c>
    </row>
    <row r="170" customFormat="false" ht="15" hidden="false" customHeight="true" outlineLevel="0" collapsed="false">
      <c r="A170" s="13" t="s">
        <v>680</v>
      </c>
      <c r="F170" s="35" t="n">
        <f aca="false">F167+F169</f>
        <v>972913.987085078</v>
      </c>
      <c r="G170" s="35" t="n">
        <f aca="false">G167+G169</f>
        <v>1159902.94406286</v>
      </c>
    </row>
    <row r="171" customFormat="false" ht="15" hidden="false" customHeight="true" outlineLevel="0" collapsed="false">
      <c r="A171" s="13" t="s">
        <v>681</v>
      </c>
      <c r="F171" s="35" t="n">
        <f aca="false">F168*Inputs!$B$21+F170*(1-Inputs!$B$21)</f>
        <v>1067831.39417161</v>
      </c>
      <c r="G171" s="35" t="n">
        <f aca="false">G168*Inputs!$B$21+G170*(1-Inputs!$B$21)</f>
        <v>1272857.93513422</v>
      </c>
    </row>
    <row r="172" customFormat="false" ht="15" hidden="false" customHeight="true" outlineLevel="0" collapsed="false">
      <c r="A172" s="13" t="s">
        <v>682</v>
      </c>
      <c r="F172" s="16" t="n">
        <f aca="false">IFERROR(F166/F168,0)</f>
        <v>0.949778374043914</v>
      </c>
      <c r="G172" s="16" t="n">
        <f aca="false">IFERROR(G166/G168,0)</f>
        <v>0.949183208089223</v>
      </c>
    </row>
    <row r="173" customFormat="false" ht="15" hidden="false" customHeight="true" outlineLevel="0" collapsed="false">
      <c r="A173" s="13" t="s">
        <v>683</v>
      </c>
      <c r="F173" s="16" t="n">
        <f aca="false">IFERROR(F169/F170,0)</f>
        <v>0.939979138800718</v>
      </c>
      <c r="G173" s="16" t="n">
        <f aca="false">IFERROR(G169/G170,0)</f>
        <v>0.939285810542405</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1205496.1115711</v>
      </c>
      <c r="G176" s="34" t="n">
        <f aca="false">G171+G174+G175</f>
        <v>1410522.65253371</v>
      </c>
    </row>
    <row r="177" customFormat="false" ht="15" hidden="false" customHeight="true" outlineLevel="0" collapsed="false">
      <c r="A177" s="13" t="s">
        <v>687</v>
      </c>
      <c r="F177" s="35" t="n">
        <f aca="false">IF(F182="OK",F176,"unresolved")</f>
        <v>1205496.1115711</v>
      </c>
      <c r="G177" s="35" t="n">
        <f aca="false">IF(G182="OK",G176,"unresolved")</f>
        <v>1410522.65253371</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67.2070060989918</v>
      </c>
      <c r="G179" s="25" t="n">
        <f aca="false">IF(G182="OK",G176/G178,"n/a")</f>
        <v>78.6373374427995</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67.2070060989918</v>
      </c>
      <c r="G184" s="25" t="n">
        <f aca="false">IF(NOT(ISNUMBER(G179)),"unresolved",IF(G180=0,G179,(G176+G180/(1+G162)^IF(ISNUMBER(G149),MAX(0,G149-2027),0))/(G178+(G180/(1-Inputs!$B$31))/(G179*(1+G162)^IF(ISNUMBER(G149),MAX(0,G149-2027),0)*(1-0)))))</f>
        <v>78.6373374427995</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67.2070060989918</v>
      </c>
      <c r="G185" s="25" t="n">
        <f aca="false">IF(NOT(ISNUMBER(G179)),"unresolved",IF(G180=0,G179,(G176+G180/(1+G162)^IF(ISNUMBER(G149),MAX(0,G149-2027),0))/(G178+(G180/(1-Inputs!$B$31))/(G179*(1+G162)^IF(ISNUMBER(G149),MAX(0,G149-2027),0)*(1-Inputs!$B$30)))))</f>
        <v>78.6373374427995</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67.2070060989918</v>
      </c>
      <c r="G186" s="25" t="n">
        <f aca="false">IF(NOT(ISNUMBER(G179)),"unresolved",IF(G180=0,G179,(G176+G180/(1+G162)^IF(ISNUMBER(G149),MAX(0,G149-2027),0))/(G178+(G180/(1-Inputs!$B$31))/(G179*(1+G162)^IF(ISNUMBER(G149),MAX(0,G149-2027),0)*(1-0.3)))))</f>
        <v>78.6373374427995</v>
      </c>
    </row>
    <row r="187" customFormat="false" ht="15" hidden="false" customHeight="true" outlineLevel="0" collapsed="false">
      <c r="A187" s="13" t="s">
        <v>696</v>
      </c>
      <c r="F187" s="25" t="n">
        <f aca="false">F185</f>
        <v>67.2070060989918</v>
      </c>
      <c r="G187" s="25" t="n">
        <f aca="false">G185</f>
        <v>78.6373374427995</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67.2070060989918</v>
      </c>
      <c r="G189" s="12" t="n">
        <f aca="false">IF(ISNUMBER(G187),G187/(1+Inputs!$B$25)^G188,"unresolved")</f>
        <v>78.6373374427995</v>
      </c>
    </row>
    <row r="190" customFormat="false" ht="15" hidden="false" customHeight="true" outlineLevel="0" collapsed="false">
      <c r="A190" s="13" t="s">
        <v>699</v>
      </c>
      <c r="F190" s="25" t="n">
        <f aca="false">IF(F180=0,F189,"unresolved")</f>
        <v>67.2070060989918</v>
      </c>
      <c r="G190" s="25" t="n">
        <f aca="false">IF(G180=0,G189,"unresolved")</f>
        <v>78.6373374427995</v>
      </c>
    </row>
    <row r="191" customFormat="false" ht="15" hidden="false" customHeight="true" outlineLevel="0" collapsed="false">
      <c r="A191" s="13" t="s">
        <v>700</v>
      </c>
      <c r="F191" s="35" t="n">
        <f aca="false">IF(ISNUMBER(F179),F176+F180/(1+F162)^IF(ISNUMBER(G93),MAX(0,G93-2027),0),"unresolved")</f>
        <v>1205496.1115711</v>
      </c>
      <c r="G191" s="35" t="n">
        <f aca="false">IF(ISNUMBER(G179),G176+G180/(1+G162)^IF(ISNUMBER(G149),MAX(0,G149-2027),0),"unresolved")</f>
        <v>1410522.65253371</v>
      </c>
    </row>
    <row r="192" customFormat="false" ht="15" hidden="false" customHeight="true" outlineLevel="0" collapsed="false">
      <c r="A192" s="13" t="s">
        <v>701</v>
      </c>
      <c r="F192" s="28" t="n">
        <f aca="false">IFERROR(F191/D49,"n/a")</f>
        <v>11.1122019060055</v>
      </c>
      <c r="G192" s="28" t="n">
        <f aca="false">IFERROR(G191/D105,"n/a")</f>
        <v>12.7722260740044</v>
      </c>
    </row>
    <row r="193" customFormat="false" ht="15" hidden="false" customHeight="true" outlineLevel="0" collapsed="false">
      <c r="A193" s="13" t="s">
        <v>702</v>
      </c>
      <c r="F193" s="25" t="n">
        <f aca="false">(F168+F174)/F178</f>
        <v>72.4986986193861</v>
      </c>
      <c r="G193" s="25" t="n">
        <f aca="false">(G168+G174)/G178</f>
        <v>84.9346342162841</v>
      </c>
    </row>
    <row r="194" customFormat="false" ht="15" hidden="false" customHeight="true" outlineLevel="0" collapsed="false">
      <c r="A194" s="13" t="s">
        <v>703</v>
      </c>
      <c r="F194" s="25" t="n">
        <f aca="false">(F170+F174)/F178</f>
        <v>61.9153135785975</v>
      </c>
      <c r="G194" s="25" t="n">
        <f aca="false">(G170+G174)/G178</f>
        <v>72.3400406693148</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4" width="66"/>
    <col collapsed="false" customWidth="true" hidden="false" outlineLevel="0" max="7" min="2" style="4" width="14"/>
  </cols>
  <sheetData>
    <row r="1" customFormat="false" ht="17.25" hidden="false" customHeight="true" outlineLevel="0" collapsed="false">
      <c r="A1" s="5" t="s">
        <v>724</v>
      </c>
    </row>
    <row r="2" customFormat="false" ht="15" hidden="false" customHeight="true" outlineLevel="0" collapsed="false">
      <c r="A2" s="6" t="s">
        <v>572</v>
      </c>
    </row>
    <row r="4" customFormat="false" ht="15" hidden="false" customHeight="true" outlineLevel="0" collapsed="false">
      <c r="A4" s="8" t="s">
        <v>573</v>
      </c>
      <c r="B4" s="9" t="s">
        <v>574</v>
      </c>
      <c r="C4" s="9" t="s">
        <v>575</v>
      </c>
      <c r="D4" s="9" t="s">
        <v>576</v>
      </c>
      <c r="E4" s="9" t="s">
        <v>577</v>
      </c>
      <c r="F4" s="9" t="s">
        <v>578</v>
      </c>
      <c r="G4" s="9" t="s">
        <v>579</v>
      </c>
    </row>
    <row r="5" customFormat="false" ht="15" hidden="false" customHeight="true" outlineLevel="0" collapsed="false">
      <c r="A5" s="10" t="s">
        <v>218</v>
      </c>
      <c r="B5" s="41" t="n">
        <f aca="false">Historicals!D35</f>
        <v>4585</v>
      </c>
      <c r="C5" s="35" t="n">
        <f aca="false">Historicals!F35+(Inputs!$B$5+Inputs!$U$75)</f>
        <v>54242</v>
      </c>
      <c r="D5" s="35" t="n">
        <f aca="false">C5*(1+Inputs!$U$77)</f>
        <v>108484</v>
      </c>
      <c r="E5" s="35" t="n">
        <f aca="false">D5*(1+Inputs!$U$78)</f>
        <v>168150.2</v>
      </c>
      <c r="F5" s="35" t="n">
        <f aca="false">E5*(1+Inputs!$U$79)</f>
        <v>227002.77</v>
      </c>
      <c r="G5" s="35" t="n">
        <f aca="false">F5*(1+Inputs!$U$80)</f>
        <v>283753.4625</v>
      </c>
    </row>
    <row r="6" customFormat="false" ht="15" hidden="false" customHeight="true" outlineLevel="0" collapsed="false">
      <c r="A6" s="13" t="s">
        <v>580</v>
      </c>
      <c r="C6" s="16" t="n">
        <f aca="false">IFERROR(C5/B5-1,0)</f>
        <v>10.8303162486369</v>
      </c>
      <c r="D6" s="16" t="n">
        <f aca="false">IFERROR(D5/C5-1,0)</f>
        <v>1</v>
      </c>
      <c r="E6" s="16" t="n">
        <f aca="false">IFERROR(E5/D5-1,0)</f>
        <v>0.55</v>
      </c>
      <c r="F6" s="16" t="n">
        <f aca="false">IFERROR(F5/E5-1,0)</f>
        <v>0.35</v>
      </c>
      <c r="G6" s="16" t="n">
        <f aca="false">IFERROR(G5/F5-1,0)</f>
        <v>0.25</v>
      </c>
    </row>
    <row r="7" customFormat="false" ht="15" hidden="false" customHeight="true" outlineLevel="0" collapsed="false">
      <c r="A7" s="13" t="s">
        <v>581</v>
      </c>
      <c r="B7" s="41" t="n">
        <f aca="false">Historicals!D51</f>
        <v>789</v>
      </c>
      <c r="C7" s="35" t="n">
        <f aca="false">Historicals!F51+(Inputs!$B$5+Inputs!$U$75)*Historicals!F51/Historicals!F35</f>
        <v>10731.163207663</v>
      </c>
      <c r="D7" s="35" t="n">
        <f aca="false">D5*Inputs!$U$76</f>
        <v>21696.8</v>
      </c>
      <c r="E7" s="35" t="n">
        <f aca="false">E5*Inputs!$U$76</f>
        <v>33630.04</v>
      </c>
      <c r="F7" s="35" t="n">
        <f aca="false">F5*Inputs!$U$76</f>
        <v>45400.554</v>
      </c>
      <c r="G7" s="35" t="n">
        <f aca="false">G5*Inputs!$U$76</f>
        <v>56750.6925</v>
      </c>
    </row>
    <row r="8" customFormat="false" ht="15" hidden="false" customHeight="true" outlineLevel="0" collapsed="false">
      <c r="A8" s="13" t="s">
        <v>582</v>
      </c>
      <c r="B8" s="35" t="n">
        <f aca="false">B5-B7</f>
        <v>3796</v>
      </c>
      <c r="C8" s="35" t="n">
        <f aca="false">C5-C7</f>
        <v>43510.836792337</v>
      </c>
      <c r="D8" s="35" t="n">
        <f aca="false">D5-D7</f>
        <v>86787.2</v>
      </c>
      <c r="E8" s="35" t="n">
        <f aca="false">E5-E7</f>
        <v>134520.16</v>
      </c>
      <c r="F8" s="35" t="n">
        <f aca="false">F5-F7</f>
        <v>181602.216</v>
      </c>
      <c r="G8" s="35" t="n">
        <f aca="false">G5-G7</f>
        <v>227002.77</v>
      </c>
    </row>
    <row r="9" customFormat="false" ht="15" hidden="false" customHeight="true" outlineLevel="0" collapsed="false">
      <c r="A9" s="13" t="s">
        <v>583</v>
      </c>
      <c r="C9" s="35" t="n">
        <f aca="false">Historicals!F36+Historicals!H6+Inputs!$U$75*Inputs!$U$81</f>
        <v>28258</v>
      </c>
      <c r="D9" s="35" t="n">
        <f aca="false">(C9-Inputs!$U$113)*(1+Inputs!$U$82)</f>
        <v>44242.84</v>
      </c>
      <c r="E9" s="35" t="n">
        <f aca="false">D9*(1+Inputs!$U$83)</f>
        <v>64152.118</v>
      </c>
      <c r="F9" s="35" t="n">
        <f aca="false">E9*(1+Inputs!$U$84)</f>
        <v>83397.7534</v>
      </c>
      <c r="G9" s="35" t="n">
        <f aca="false">F9*(1+Inputs!$U$85)</f>
        <v>100077.30408</v>
      </c>
    </row>
    <row r="10" customFormat="false" ht="15" hidden="false" customHeight="true" outlineLevel="0" collapsed="false">
      <c r="A10" s="13" t="s">
        <v>219</v>
      </c>
      <c r="B10" s="41" t="n">
        <f aca="false">Historicals!D36</f>
        <v>7326</v>
      </c>
      <c r="C10" s="35" t="n">
        <f aca="false">Historicals!F36+Historicals!H6+MAX(Inputs!$U$75*Inputs!$U$81,Inputs!$U$108*C22)</f>
        <v>28258</v>
      </c>
      <c r="D10" s="35" t="n">
        <f aca="false">MAX(D9,Inputs!$U$108*D22)</f>
        <v>44242.84</v>
      </c>
      <c r="E10" s="35" t="n">
        <f aca="false">MAX(E9,Inputs!$U$108*E22)</f>
        <v>64152.118</v>
      </c>
      <c r="F10" s="35" t="n">
        <f aca="false">MAX(F9,Inputs!$U$108*F22)</f>
        <v>83397.7534</v>
      </c>
      <c r="G10" s="35" t="n">
        <f aca="false">MAX(G9,Inputs!$U$108*G22)</f>
        <v>100077.30408</v>
      </c>
    </row>
    <row r="11" customFormat="false" ht="15" hidden="false" customHeight="true" outlineLevel="0" collapsed="false">
      <c r="A11" s="13" t="s">
        <v>220</v>
      </c>
      <c r="B11" s="41" t="n">
        <f aca="false">Historicals!D37</f>
        <v>1839</v>
      </c>
      <c r="C11" s="35" t="n">
        <f aca="false">Historicals!F37+Historicals!H7+Inputs!$U$75*Historicals!H24</f>
        <v>6982.0728945506</v>
      </c>
      <c r="D11" s="35" t="n">
        <f aca="false">D5*Inputs!$U$86</f>
        <v>15187.76</v>
      </c>
      <c r="E11" s="35" t="n">
        <f aca="false">E5*Inputs!$U$87</f>
        <v>21859.526</v>
      </c>
      <c r="F11" s="35" t="n">
        <f aca="false">F5*Inputs!$U$88</f>
        <v>27240.3324</v>
      </c>
      <c r="G11" s="35" t="n">
        <f aca="false">G5*Inputs!$U$89</f>
        <v>31212.880875</v>
      </c>
    </row>
    <row r="12" customFormat="false" ht="15" hidden="false" customHeight="true" outlineLevel="0" collapsed="false">
      <c r="A12" s="13" t="s">
        <v>584</v>
      </c>
      <c r="B12" s="41" t="n">
        <f aca="false">Historicals!D49</f>
        <v>1158</v>
      </c>
      <c r="C12" s="35" t="n">
        <f aca="false">Historicals!F49+Historicals!H19+Inputs!$U$75*Historicals!H29</f>
        <v>4580.19462137297</v>
      </c>
      <c r="D12" s="35" t="n">
        <f aca="false">D5*Inputs!$U$90</f>
        <v>9763.56</v>
      </c>
      <c r="E12" s="35" t="n">
        <f aca="false">E5*Inputs!$U$91</f>
        <v>13452.016</v>
      </c>
      <c r="F12" s="35" t="n">
        <f aca="false">F5*Inputs!$U$92</f>
        <v>15890.1939</v>
      </c>
      <c r="G12" s="35" t="n">
        <f aca="false">G5*Inputs!$U$93</f>
        <v>17025.20775</v>
      </c>
    </row>
    <row r="13" customFormat="false" ht="15" hidden="false" customHeight="true" outlineLevel="0" collapsed="false">
      <c r="A13" s="13" t="s">
        <v>585</v>
      </c>
      <c r="B13" s="41" t="n">
        <f aca="false">Historicals!D39</f>
        <v>568</v>
      </c>
      <c r="C13" s="35" t="n">
        <f aca="false">Historicals!F39+Historicals!H9+Inputs!$U$75*Historicals!H25</f>
        <v>8453.09766454352</v>
      </c>
      <c r="D13" s="35" t="n">
        <f aca="false">D5*Inputs!$U$94</f>
        <v>18442.28</v>
      </c>
      <c r="E13" s="35" t="n">
        <f aca="false">E5*Inputs!$U$95</f>
        <v>26904.032</v>
      </c>
      <c r="F13" s="35" t="n">
        <f aca="false">F5*Inputs!$U$96</f>
        <v>34050.4155</v>
      </c>
      <c r="G13" s="35" t="n">
        <f aca="false">G5*Inputs!$U$97</f>
        <v>42563.019375</v>
      </c>
    </row>
    <row r="14" customFormat="false" ht="15" hidden="false" customHeight="true" outlineLevel="0" collapsed="false">
      <c r="A14" s="13" t="s">
        <v>586</v>
      </c>
      <c r="B14" s="41" t="n">
        <f aca="false">Historicals!D40</f>
        <v>1412</v>
      </c>
      <c r="C14" s="35" t="n">
        <f aca="false">Historicals!F40+Historicals!H10-Inputs!$B$37+Inputs!$U$75*(Historicals!H10-Inputs!$B$37)/Historicals!H5</f>
        <v>5358.27742392074</v>
      </c>
      <c r="D14" s="35" t="n">
        <f aca="false">D5*Inputs!$U$98</f>
        <v>8678.72</v>
      </c>
      <c r="E14" s="35" t="n">
        <f aca="false">E5*Inputs!$U$99</f>
        <v>11770.514</v>
      </c>
      <c r="F14" s="35" t="n">
        <f aca="false">F5*Inputs!$U$100</f>
        <v>13620.1662</v>
      </c>
      <c r="G14" s="35" t="n">
        <f aca="false">G5*Inputs!$U$101</f>
        <v>17025.20775</v>
      </c>
    </row>
    <row r="15" customFormat="false" ht="15" hidden="false" customHeight="true" outlineLevel="0" collapsed="false">
      <c r="A15" s="13" t="s">
        <v>587</v>
      </c>
      <c r="B15" s="41" t="n">
        <f aca="false">Historicals!D38</f>
        <v>1500</v>
      </c>
      <c r="C15" s="41" t="n">
        <f aca="false">Inputs!$B$37</f>
        <v>1960</v>
      </c>
      <c r="D15" s="33" t="n">
        <v>0</v>
      </c>
      <c r="E15" s="33" t="n">
        <v>0</v>
      </c>
      <c r="F15" s="33" t="n">
        <v>0</v>
      </c>
      <c r="G15" s="33" t="n">
        <v>0</v>
      </c>
    </row>
    <row r="16" customFormat="false" ht="15" hidden="false" customHeight="true" outlineLevel="0" collapsed="false">
      <c r="A16" s="13" t="s">
        <v>224</v>
      </c>
      <c r="B16" s="36" t="n">
        <f aca="false">B10+B11+B13+B14+B15</f>
        <v>12645</v>
      </c>
      <c r="C16" s="36" t="n">
        <f aca="false">C10+C11+C13+C14+C15</f>
        <v>51011.4479830149</v>
      </c>
      <c r="D16" s="36" t="n">
        <f aca="false">D10+D11+D13+D14+D15</f>
        <v>86551.6</v>
      </c>
      <c r="E16" s="36" t="n">
        <f aca="false">E10+E11+E13+E14+E15</f>
        <v>124686.19</v>
      </c>
      <c r="F16" s="36" t="n">
        <f aca="false">F10+F11+F13+F14+F15</f>
        <v>158308.6675</v>
      </c>
      <c r="G16" s="36" t="n">
        <f aca="false">G10+G11+G13+G14+G15</f>
        <v>190878.41208</v>
      </c>
    </row>
    <row r="17" customFormat="false" ht="15" hidden="false" customHeight="true" outlineLevel="0" collapsed="false">
      <c r="A17" s="10" t="s">
        <v>588</v>
      </c>
      <c r="B17" s="34" t="n">
        <f aca="false">B5-B16</f>
        <v>-8060</v>
      </c>
      <c r="C17" s="34" t="n">
        <f aca="false">C5-C16</f>
        <v>3230.55201698514</v>
      </c>
      <c r="D17" s="34" t="n">
        <f aca="false">D5-D16</f>
        <v>21932.4</v>
      </c>
      <c r="E17" s="34" t="n">
        <f aca="false">E5-E16</f>
        <v>43464.01</v>
      </c>
      <c r="F17" s="34" t="n">
        <f aca="false">F5-F16</f>
        <v>68694.1025</v>
      </c>
      <c r="G17" s="34" t="n">
        <f aca="false">G5-G16</f>
        <v>92875.05042</v>
      </c>
    </row>
    <row r="18" customFormat="false" ht="15" hidden="false" customHeight="true" outlineLevel="0" collapsed="false">
      <c r="A18" s="13" t="s">
        <v>589</v>
      </c>
      <c r="B18" s="16" t="n">
        <f aca="false">IFERROR(B17/B5,0)</f>
        <v>-1.75790621592148</v>
      </c>
      <c r="C18" s="16" t="n">
        <f aca="false">IFERROR(C17/C5,0)</f>
        <v>0.0595581287007327</v>
      </c>
      <c r="D18" s="16" t="n">
        <f aca="false">IFERROR(D17/D5,0)</f>
        <v>0.20217174882932</v>
      </c>
      <c r="E18" s="16" t="n">
        <f aca="false">IFERROR(E17/E5,0)</f>
        <v>0.258483248904848</v>
      </c>
      <c r="F18" s="16" t="n">
        <f aca="false">IFERROR(F17/F5,0)</f>
        <v>0.302613498945409</v>
      </c>
      <c r="G18" s="16" t="n">
        <f aca="false">IFERROR(G17/G5,0)</f>
        <v>0.327308958987593</v>
      </c>
    </row>
    <row r="19" customFormat="false" ht="15" hidden="false" customHeight="true" outlineLevel="0" collapsed="false">
      <c r="A19" s="13" t="s">
        <v>590</v>
      </c>
      <c r="B19" s="16" t="n">
        <f aca="false">IFERROR(B10/B5,0)</f>
        <v>1.59781897491821</v>
      </c>
      <c r="C19" s="16" t="n">
        <f aca="false">IFERROR(C10/C5,0)</f>
        <v>0.52096161645957</v>
      </c>
      <c r="D19" s="16" t="n">
        <f aca="false">IFERROR(D10/D5,0)</f>
        <v>0.40782825117068</v>
      </c>
      <c r="E19" s="16" t="n">
        <f aca="false">IFERROR(E10/E5,0)</f>
        <v>0.381516751095152</v>
      </c>
      <c r="F19" s="16" t="n">
        <f aca="false">IFERROR(F10/F5,0)</f>
        <v>0.367386501054591</v>
      </c>
      <c r="G19" s="16" t="n">
        <f aca="false">IFERROR(G10/G5,0)</f>
        <v>0.352691041012407</v>
      </c>
    </row>
    <row r="20" customFormat="false" ht="15" hidden="false" customHeight="true" outlineLevel="0" collapsed="false">
      <c r="A20" s="13" t="s">
        <v>591</v>
      </c>
      <c r="C20" s="35" t="n">
        <f aca="false">Historicals!$B$78+Inputs!$B$37</f>
        <v>2086</v>
      </c>
      <c r="D20" s="33" t="n">
        <v>0</v>
      </c>
      <c r="E20" s="33" t="n">
        <v>0</v>
      </c>
      <c r="F20" s="33" t="n">
        <v>0</v>
      </c>
      <c r="G20" s="33" t="n">
        <v>0</v>
      </c>
    </row>
    <row r="21" customFormat="false" ht="15" hidden="false" customHeight="true" outlineLevel="0" collapsed="false">
      <c r="A21" s="13" t="s">
        <v>592</v>
      </c>
      <c r="D21" s="53" t="n">
        <f aca="false">1/(1+Inputs!$B$19+Inputs!$U$104)^1</f>
        <v>0.892857142857143</v>
      </c>
      <c r="E21" s="53" t="n">
        <f aca="false">1/(1+Inputs!$B$19+Inputs!$U$104)^2</f>
        <v>0.79719387755102</v>
      </c>
      <c r="F21" s="53" t="n">
        <f aca="false">1/(1+Inputs!$B$19+Inputs!$U$104)^3</f>
        <v>0.711780247813411</v>
      </c>
      <c r="G21" s="53" t="n">
        <f aca="false">1/(1+Inputs!$B$19+Inputs!$U$104)^4</f>
        <v>0.635518078404831</v>
      </c>
    </row>
    <row r="22" customFormat="false" ht="15" hidden="false" customHeight="true" outlineLevel="0" collapsed="false">
      <c r="A22" s="13" t="s">
        <v>593</v>
      </c>
      <c r="C22" s="35" t="n">
        <f aca="false">Inputs!B$69+Inputs!$B$47*Inputs!$B$46</f>
        <v>11231</v>
      </c>
      <c r="D22" s="35" t="n">
        <f aca="false">Inputs!C$69+Inputs!$B$47*(1-Inputs!$B$46)+Inputs!$B$70*Inputs!$U$109</f>
        <v>97550</v>
      </c>
      <c r="E22" s="35" t="n">
        <f aca="false">Inputs!D$69+Inputs!$B$70*Inputs!$U$110</f>
        <v>107338.25</v>
      </c>
      <c r="F22" s="35" t="n">
        <f aca="false">Inputs!E$69+Inputs!$B$70*Inputs!$U$111</f>
        <v>117031.375</v>
      </c>
      <c r="G22" s="35" t="n">
        <f aca="false">Inputs!F$69+Inputs!$B$70*Inputs!$U$112</f>
        <v>114349.375</v>
      </c>
    </row>
    <row r="23" customFormat="false" ht="15" hidden="false" customHeight="true" outlineLevel="0" collapsed="false">
      <c r="A23" s="37" t="s">
        <v>594</v>
      </c>
      <c r="B23" s="38"/>
      <c r="C23" s="38"/>
      <c r="D23" s="38"/>
      <c r="E23" s="38"/>
      <c r="F23" s="38"/>
      <c r="G23" s="38"/>
    </row>
    <row r="24" customFormat="false" ht="15" hidden="false" customHeight="true" outlineLevel="0" collapsed="false">
      <c r="A24" s="13" t="s">
        <v>595</v>
      </c>
      <c r="C24" s="39" t="n">
        <v>0</v>
      </c>
      <c r="D24" s="19" t="n">
        <f aca="false">Inputs!$C$118</f>
        <v>0.02</v>
      </c>
      <c r="E24" s="19" t="n">
        <f aca="false">Inputs!$C$119</f>
        <v>0.05</v>
      </c>
      <c r="F24" s="19" t="n">
        <f aca="false">Inputs!$C$120</f>
        <v>0.1</v>
      </c>
      <c r="G24" s="19" t="n">
        <f aca="false">Inputs!$C$121</f>
        <v>0.15</v>
      </c>
    </row>
    <row r="25" customFormat="false" ht="15" hidden="false" customHeight="true" outlineLevel="0" collapsed="false">
      <c r="A25" s="13" t="s">
        <v>596</v>
      </c>
      <c r="C25" s="35" t="n">
        <f aca="false">C5*C24</f>
        <v>0</v>
      </c>
      <c r="D25" s="35" t="n">
        <f aca="false">D5*D24</f>
        <v>2169.68</v>
      </c>
      <c r="E25" s="35" t="n">
        <f aca="false">E5*E24</f>
        <v>8407.51</v>
      </c>
      <c r="F25" s="35" t="n">
        <f aca="false">F5*F24</f>
        <v>22700.277</v>
      </c>
      <c r="G25" s="35" t="n">
        <f aca="false">G5*G24</f>
        <v>42563.019375</v>
      </c>
    </row>
    <row r="26" customFormat="false" ht="15" hidden="false" customHeight="true" outlineLevel="0" collapsed="false">
      <c r="A26" s="13" t="s">
        <v>597</v>
      </c>
      <c r="C26" s="54" t="n">
        <f aca="false">Inputs!$C$122</f>
        <v>8</v>
      </c>
      <c r="D26" s="54" t="n">
        <f aca="false">Inputs!$C$122</f>
        <v>8</v>
      </c>
      <c r="E26" s="54" t="n">
        <f aca="false">Inputs!$C$122</f>
        <v>8</v>
      </c>
      <c r="F26" s="54" t="n">
        <f aca="false">Inputs!$C$122</f>
        <v>8</v>
      </c>
      <c r="G26" s="54" t="n">
        <f aca="false">Inputs!$C$122</f>
        <v>8</v>
      </c>
    </row>
    <row r="27" customFormat="false" ht="15" hidden="false" customHeight="true" outlineLevel="0" collapsed="false">
      <c r="A27" s="13" t="s">
        <v>598</v>
      </c>
      <c r="C27" s="35" t="n">
        <f aca="false">C25*C26</f>
        <v>0</v>
      </c>
      <c r="D27" s="35" t="n">
        <f aca="false">D25*D26</f>
        <v>17357.44</v>
      </c>
      <c r="E27" s="35" t="n">
        <f aca="false">E25*E26</f>
        <v>67260.08</v>
      </c>
      <c r="F27" s="35" t="n">
        <f aca="false">F25*F26</f>
        <v>181602.216</v>
      </c>
      <c r="G27" s="35" t="n">
        <f aca="false">G25*G26</f>
        <v>340504.155</v>
      </c>
    </row>
    <row r="28" customFormat="false" ht="15" hidden="false" customHeight="true" outlineLevel="0" collapsed="false">
      <c r="A28" s="13" t="s">
        <v>599</v>
      </c>
      <c r="C28" s="19" t="n">
        <f aca="false">Inputs!$C$123</f>
        <v>0.15</v>
      </c>
      <c r="D28" s="19" t="n">
        <f aca="false">Inputs!$C$123</f>
        <v>0.15</v>
      </c>
      <c r="E28" s="19" t="n">
        <f aca="false">Inputs!$C$123</f>
        <v>0.15</v>
      </c>
      <c r="F28" s="19" t="n">
        <f aca="false">Inputs!$C$123</f>
        <v>0.15</v>
      </c>
      <c r="G28" s="19" t="n">
        <f aca="false">Inputs!$C$123</f>
        <v>0.15</v>
      </c>
    </row>
    <row r="29" customFormat="false" ht="15" hidden="false" customHeight="true" outlineLevel="0" collapsed="false">
      <c r="A29" s="10" t="s">
        <v>600</v>
      </c>
      <c r="C29" s="36" t="n">
        <f aca="false">C27*C28</f>
        <v>0</v>
      </c>
      <c r="D29" s="36" t="n">
        <f aca="false">D27*D28</f>
        <v>2603.616</v>
      </c>
      <c r="E29" s="36" t="n">
        <f aca="false">E27*E28</f>
        <v>10089.012</v>
      </c>
      <c r="F29" s="36" t="n">
        <f aca="false">F27*F28</f>
        <v>27240.3324</v>
      </c>
      <c r="G29" s="36" t="n">
        <f aca="false">G27*G28</f>
        <v>51075.62325</v>
      </c>
    </row>
    <row r="30" customFormat="false" ht="15" hidden="false" customHeight="true" outlineLevel="0" collapsed="false">
      <c r="A30" s="13" t="s">
        <v>601</v>
      </c>
      <c r="C30" s="35" t="n">
        <f aca="false">C25*Inputs!$C$124</f>
        <v>0</v>
      </c>
      <c r="D30" s="35" t="n">
        <f aca="false">D25*Inputs!$C$124</f>
        <v>650.904</v>
      </c>
      <c r="E30" s="35" t="n">
        <f aca="false">E25*Inputs!$C$124</f>
        <v>2522.253</v>
      </c>
      <c r="F30" s="35" t="n">
        <f aca="false">F25*Inputs!$C$124</f>
        <v>6810.0831</v>
      </c>
      <c r="G30" s="35" t="n">
        <f aca="false">G25*Inputs!$C$124</f>
        <v>12768.9058125</v>
      </c>
    </row>
    <row r="31" customFormat="false" ht="15" hidden="false" customHeight="true" outlineLevel="0" collapsed="false">
      <c r="A31" s="13" t="s">
        <v>602</v>
      </c>
      <c r="C31" s="35" t="n">
        <f aca="false">C29-C30</f>
        <v>0</v>
      </c>
      <c r="D31" s="35" t="n">
        <f aca="false">D29-D30</f>
        <v>1952.712</v>
      </c>
      <c r="E31" s="35" t="n">
        <f aca="false">E29-E30</f>
        <v>7566.759</v>
      </c>
      <c r="F31" s="35" t="n">
        <f aca="false">F29-F30</f>
        <v>20430.2493</v>
      </c>
      <c r="G31" s="35" t="n">
        <f aca="false">G29-G30</f>
        <v>38306.7174375</v>
      </c>
    </row>
    <row r="32" customFormat="false" ht="15" hidden="false" customHeight="true" outlineLevel="0" collapsed="false">
      <c r="A32" s="13" t="s">
        <v>603</v>
      </c>
      <c r="C32" s="35" t="n">
        <f aca="false">C29*Inputs!$C$125</f>
        <v>0</v>
      </c>
      <c r="D32" s="35" t="n">
        <f aca="false">D29*Inputs!$C$125</f>
        <v>520.7232</v>
      </c>
      <c r="E32" s="35" t="n">
        <f aca="false">E29*Inputs!$C$125</f>
        <v>2017.8024</v>
      </c>
      <c r="F32" s="35" t="n">
        <f aca="false">F29*Inputs!$C$125</f>
        <v>5448.06648</v>
      </c>
      <c r="G32" s="35" t="n">
        <f aca="false">G29*Inputs!$C$125</f>
        <v>10215.12465</v>
      </c>
    </row>
    <row r="33" customFormat="false" ht="15" hidden="false" customHeight="true" outlineLevel="0" collapsed="false">
      <c r="A33" s="13" t="s">
        <v>604</v>
      </c>
      <c r="C33" s="35" t="n">
        <f aca="false">C29*Inputs!$C$126</f>
        <v>0</v>
      </c>
      <c r="D33" s="35" t="n">
        <f aca="false">D29*Inputs!$C$126</f>
        <v>390.5424</v>
      </c>
      <c r="E33" s="35" t="n">
        <f aca="false">E29*Inputs!$C$126</f>
        <v>1513.3518</v>
      </c>
      <c r="F33" s="35" t="n">
        <f aca="false">F29*Inputs!$C$126</f>
        <v>4086.04986</v>
      </c>
      <c r="G33" s="35" t="n">
        <f aca="false">G29*Inputs!$C$126</f>
        <v>7661.3434875</v>
      </c>
    </row>
    <row r="34" customFormat="false" ht="15" hidden="false" customHeight="true" outlineLevel="0" collapsed="false">
      <c r="A34" s="13" t="s">
        <v>605</v>
      </c>
      <c r="C34" s="35" t="n">
        <f aca="false">C29*Inputs!$C$127</f>
        <v>0</v>
      </c>
      <c r="D34" s="35" t="n">
        <f aca="false">D29*Inputs!$C$127</f>
        <v>260.3616</v>
      </c>
      <c r="E34" s="35" t="n">
        <f aca="false">E29*Inputs!$C$127</f>
        <v>1008.9012</v>
      </c>
      <c r="F34" s="35" t="n">
        <f aca="false">F29*Inputs!$C$127</f>
        <v>2724.03324</v>
      </c>
      <c r="G34" s="35" t="n">
        <f aca="false">G29*Inputs!$C$127</f>
        <v>5107.562325</v>
      </c>
    </row>
    <row r="35" customFormat="false" ht="15" hidden="false" customHeight="true" outlineLevel="0" collapsed="false">
      <c r="A35" s="10" t="s">
        <v>606</v>
      </c>
      <c r="C35" s="34" t="n">
        <f aca="false">C29-C30-C32-C33-C34</f>
        <v>0</v>
      </c>
      <c r="D35" s="34" t="n">
        <f aca="false">D29-D30-D32-D33-D34</f>
        <v>781.0848</v>
      </c>
      <c r="E35" s="34" t="n">
        <f aca="false">E29-E30-E32-E33-E34</f>
        <v>3026.7036</v>
      </c>
      <c r="F35" s="34" t="n">
        <f aca="false">F29-F30-F32-F33-F34</f>
        <v>8172.09972</v>
      </c>
      <c r="G35" s="34" t="n">
        <f aca="false">G29-G30-G32-G33-G34</f>
        <v>15322.686975</v>
      </c>
    </row>
    <row r="36" customFormat="false" ht="15" hidden="false" customHeight="true" outlineLevel="0" collapsed="false">
      <c r="A36" s="13" t="s">
        <v>92</v>
      </c>
      <c r="C36" s="55" t="n">
        <f aca="false">IFERROR(C27/Inputs!$B$27,0)</f>
        <v>0</v>
      </c>
      <c r="D36" s="55" t="n">
        <f aca="false">IFERROR(D27/Inputs!$B$27,0)</f>
        <v>0.000433936</v>
      </c>
      <c r="E36" s="55" t="n">
        <f aca="false">IFERROR(E27/Inputs!$B$27,0)</f>
        <v>0.001681502</v>
      </c>
      <c r="F36" s="55" t="n">
        <f aca="false">IFERROR(F27/Inputs!$B$27,0)</f>
        <v>0.0045400554</v>
      </c>
      <c r="G36" s="55" t="n">
        <f aca="false">IFERROR(G27/Inputs!$B$27,0)</f>
        <v>0.008512603875</v>
      </c>
    </row>
    <row r="37" customFormat="false" ht="15" hidden="false" customHeight="true" outlineLevel="0" collapsed="false">
      <c r="A37" s="13" t="s">
        <v>607</v>
      </c>
      <c r="C37" s="35" t="n">
        <f aca="false">CHOOSE(Inputs!$B$35,C31*Inputs!B$67,C29*Inputs!$B$36,0)</f>
        <v>0</v>
      </c>
      <c r="D37" s="35" t="n">
        <f aca="false">CHOOSE(Inputs!$B$35,D31*Inputs!C$67,D29*Inputs!$B$36,0)</f>
        <v>78.10848</v>
      </c>
      <c r="E37" s="35" t="n">
        <f aca="false">CHOOSE(Inputs!$B$35,E31*Inputs!D$67,E29*Inputs!$B$36,0)</f>
        <v>378.33795</v>
      </c>
      <c r="F37" s="35" t="n">
        <f aca="false">CHOOSE(Inputs!$B$35,F31*Inputs!E$67,F29*Inputs!$B$36,0)</f>
        <v>1021.512465</v>
      </c>
      <c r="G37" s="35" t="n">
        <f aca="false">CHOOSE(Inputs!$B$35,G31*Inputs!F$67,G29*Inputs!$B$36,0)</f>
        <v>1915.335871875</v>
      </c>
    </row>
    <row r="38" customFormat="false" ht="15" hidden="false" customHeight="true" outlineLevel="0" collapsed="false">
      <c r="A38" s="13" t="s">
        <v>608</v>
      </c>
      <c r="C38" s="33" t="n">
        <v>0</v>
      </c>
      <c r="D38" s="35" t="n">
        <f aca="false">-(D29-C29)*Inputs!$B$34/365</f>
        <v>-0</v>
      </c>
      <c r="E38" s="35" t="n">
        <f aca="false">-(E29-D29)*Inputs!$B$34/365</f>
        <v>-0</v>
      </c>
      <c r="F38" s="35" t="n">
        <f aca="false">-(F29-E29)*Inputs!$B$34/365</f>
        <v>-0</v>
      </c>
      <c r="G38" s="35" t="n">
        <f aca="false">-(G29-F29)*Inputs!$B$34/365</f>
        <v>-0</v>
      </c>
    </row>
    <row r="40" customFormat="false" ht="15" hidden="false" customHeight="true" outlineLevel="0" collapsed="false">
      <c r="A40" s="37" t="s">
        <v>609</v>
      </c>
      <c r="B40" s="38"/>
      <c r="C40" s="38"/>
      <c r="D40" s="38"/>
      <c r="E40" s="38"/>
      <c r="F40" s="38"/>
      <c r="G40" s="38"/>
    </row>
    <row r="41" customFormat="false" ht="15" hidden="false" customHeight="true" outlineLevel="0" collapsed="false">
      <c r="A41" s="13" t="s">
        <v>610</v>
      </c>
      <c r="C41" s="33" t="n">
        <v>0</v>
      </c>
      <c r="D41" s="35" t="n">
        <f aca="false">C46</f>
        <v>0</v>
      </c>
      <c r="E41" s="35" t="n">
        <f aca="false">D46</f>
        <v>0</v>
      </c>
      <c r="F41" s="35" t="n">
        <f aca="false">E46</f>
        <v>0</v>
      </c>
      <c r="G41" s="35" t="n">
        <f aca="false">F46</f>
        <v>0</v>
      </c>
    </row>
    <row r="42" customFormat="false" ht="15" hidden="false" customHeight="true" outlineLevel="0" collapsed="false">
      <c r="A42" s="13" t="s">
        <v>611</v>
      </c>
      <c r="C42" s="33" t="n">
        <v>0</v>
      </c>
      <c r="D42" s="35" t="n">
        <f aca="false">Inputs!$U$107</f>
        <v>0</v>
      </c>
      <c r="E42" s="33" t="n">
        <v>0</v>
      </c>
      <c r="F42" s="33" t="n">
        <v>0</v>
      </c>
      <c r="G42" s="33" t="n">
        <v>0</v>
      </c>
    </row>
    <row r="43" customFormat="false" ht="15" hidden="false" customHeight="true" outlineLevel="0" collapsed="false">
      <c r="A43" s="13" t="s">
        <v>612</v>
      </c>
      <c r="C43" s="35" t="n">
        <f aca="false">MAX(0,0)</f>
        <v>0</v>
      </c>
      <c r="D43" s="35" t="n">
        <f aca="false">MAX(0,0)</f>
        <v>0</v>
      </c>
      <c r="E43" s="35" t="n">
        <f aca="false">MAX(0,$D$42/Inputs!$B$40*MIN(1,Inputs!$B$40)-SUM($C45:D45))</f>
        <v>0</v>
      </c>
      <c r="F43" s="35" t="n">
        <f aca="false">MAX(0,$D$42/Inputs!$B$40*MIN(2,Inputs!$B$40)-SUM($C45:E45))</f>
        <v>0</v>
      </c>
      <c r="G43" s="35" t="n">
        <f aca="false">MAX(0,$D$42/Inputs!$B$40*MIN(3,Inputs!$B$40)-SUM($C45:F45))</f>
        <v>0</v>
      </c>
    </row>
    <row r="44" customFormat="false" ht="15" hidden="false" customHeight="true" outlineLevel="0" collapsed="false">
      <c r="A44" s="13" t="s">
        <v>613</v>
      </c>
      <c r="C44" s="35" t="n">
        <f aca="false">C10*Inputs!$B$39</f>
        <v>28258</v>
      </c>
      <c r="D44" s="35" t="n">
        <f aca="false">D10*Inputs!$B$39</f>
        <v>44242.84</v>
      </c>
      <c r="E44" s="35" t="n">
        <f aca="false">E10*Inputs!$B$39</f>
        <v>64152.118</v>
      </c>
      <c r="F44" s="35" t="n">
        <f aca="false">F10*Inputs!$B$39</f>
        <v>83397.7534</v>
      </c>
      <c r="G44" s="35" t="n">
        <f aca="false">G10*Inputs!$B$39</f>
        <v>100077.30408</v>
      </c>
    </row>
    <row r="45" customFormat="false" ht="15" hidden="false" customHeight="true" outlineLevel="0" collapsed="false">
      <c r="A45" s="10" t="s">
        <v>614</v>
      </c>
      <c r="C45" s="36" t="n">
        <f aca="false">MAX(0,MIN(C41+C42,C43,C44))</f>
        <v>0</v>
      </c>
      <c r="D45" s="36" t="n">
        <f aca="false">MAX(0,MIN(D41+D42,D43,D44))</f>
        <v>0</v>
      </c>
      <c r="E45" s="36" t="n">
        <f aca="false">MAX(0,MIN(E41+E42,E43,E44))</f>
        <v>0</v>
      </c>
      <c r="F45" s="36" t="n">
        <f aca="false">MAX(0,MIN(F41+F42,F43,F44))</f>
        <v>0</v>
      </c>
      <c r="G45" s="36" t="n">
        <f aca="false">MAX(0,MIN(G41+G42,G43,G44))</f>
        <v>0</v>
      </c>
    </row>
    <row r="46" customFormat="false" ht="15" hidden="false" customHeight="true" outlineLevel="0" collapsed="false">
      <c r="A46" s="10" t="s">
        <v>615</v>
      </c>
      <c r="C46" s="36" t="n">
        <f aca="false">C41+C42-C45</f>
        <v>0</v>
      </c>
      <c r="D46" s="36" t="n">
        <f aca="false">D41+D42-D45</f>
        <v>0</v>
      </c>
      <c r="E46" s="36" t="n">
        <f aca="false">E41+E42-E45</f>
        <v>0</v>
      </c>
      <c r="F46" s="36" t="n">
        <f aca="false">F41+F42-F45</f>
        <v>0</v>
      </c>
      <c r="G46" s="36" t="n">
        <f aca="false">G41+G42-G45</f>
        <v>0</v>
      </c>
    </row>
    <row r="48" customFormat="false" ht="15" hidden="false" customHeight="true" outlineLevel="0" collapsed="false">
      <c r="A48" s="37" t="s">
        <v>616</v>
      </c>
      <c r="B48" s="38"/>
      <c r="C48" s="38"/>
      <c r="D48" s="38"/>
      <c r="E48" s="38"/>
      <c r="F48" s="38"/>
      <c r="G48" s="38"/>
    </row>
    <row r="49" customFormat="false" ht="15" hidden="false" customHeight="true" outlineLevel="0" collapsed="false">
      <c r="A49" s="13" t="s">
        <v>218</v>
      </c>
      <c r="C49" s="35" t="n">
        <f aca="false">C5</f>
        <v>54242</v>
      </c>
      <c r="D49" s="35" t="n">
        <f aca="false">D5</f>
        <v>108484</v>
      </c>
      <c r="E49" s="35" t="n">
        <f aca="false">E5</f>
        <v>168150.2</v>
      </c>
      <c r="F49" s="35" t="n">
        <f aca="false">F5</f>
        <v>227002.77</v>
      </c>
      <c r="G49" s="35" t="n">
        <f aca="false">G5</f>
        <v>283753.4625</v>
      </c>
    </row>
    <row r="50" customFormat="false" ht="15" hidden="false" customHeight="true" outlineLevel="0" collapsed="false">
      <c r="A50" s="13" t="s">
        <v>588</v>
      </c>
      <c r="C50" s="35" t="n">
        <f aca="false">C17</f>
        <v>3230.55201698514</v>
      </c>
      <c r="D50" s="35" t="n">
        <f aca="false">D17</f>
        <v>21932.4</v>
      </c>
      <c r="E50" s="35" t="n">
        <f aca="false">E17</f>
        <v>43464.01</v>
      </c>
      <c r="F50" s="35" t="n">
        <f aca="false">F17</f>
        <v>68694.1025</v>
      </c>
      <c r="G50" s="35" t="n">
        <f aca="false">G17</f>
        <v>92875.05042</v>
      </c>
    </row>
    <row r="51" customFormat="false" ht="15" hidden="false" customHeight="true" outlineLevel="0" collapsed="false">
      <c r="A51" s="13" t="s">
        <v>617</v>
      </c>
      <c r="C51" s="35" t="n">
        <f aca="false">C5*Inputs!B$67</f>
        <v>1627.26</v>
      </c>
      <c r="D51" s="35" t="n">
        <f aca="false">D5*Inputs!C$67</f>
        <v>4339.36</v>
      </c>
      <c r="E51" s="35" t="n">
        <f aca="false">E5*Inputs!D$67</f>
        <v>8407.51</v>
      </c>
      <c r="F51" s="35" t="n">
        <f aca="false">F5*Inputs!E$67</f>
        <v>11350.1385</v>
      </c>
      <c r="G51" s="35" t="n">
        <f aca="false">G5*Inputs!F$67</f>
        <v>14187.673125</v>
      </c>
    </row>
    <row r="52" customFormat="false" ht="15" hidden="false" customHeight="true" outlineLevel="0" collapsed="false">
      <c r="A52" s="13" t="s">
        <v>618</v>
      </c>
      <c r="C52" s="33" t="n">
        <v>0</v>
      </c>
      <c r="D52" s="35" t="n">
        <f aca="false">SUMPRODUCT($D51:D51,--((4-COLUMN($D51:D51))&lt;Inputs!$B$32))/Inputs!$B$32</f>
        <v>867.872</v>
      </c>
      <c r="E52" s="35" t="n">
        <f aca="false">SUMPRODUCT($D51:E51,--((5-COLUMN($D51:E51))&lt;Inputs!$B$32))/Inputs!$B$32</f>
        <v>2549.374</v>
      </c>
      <c r="F52" s="35" t="n">
        <f aca="false">SUMPRODUCT($D51:F51,--((6-COLUMN($D51:F51))&lt;Inputs!$B$32))/Inputs!$B$32</f>
        <v>4819.4017</v>
      </c>
      <c r="G52" s="35" t="n">
        <f aca="false">SUMPRODUCT($D51:G51,--((7-COLUMN($D51:G51))&lt;Inputs!$B$32))/Inputs!$B$32</f>
        <v>7656.936325</v>
      </c>
    </row>
    <row r="53" customFormat="false" ht="15" hidden="false" customHeight="true" outlineLevel="0" collapsed="false">
      <c r="A53" s="10" t="s">
        <v>619</v>
      </c>
      <c r="C53" s="36" t="n">
        <f aca="false">C50-C52</f>
        <v>3230.55201698514</v>
      </c>
      <c r="D53" s="36" t="n">
        <f aca="false">D50-D52</f>
        <v>21064.528</v>
      </c>
      <c r="E53" s="36" t="n">
        <f aca="false">E50-E52</f>
        <v>40914.636</v>
      </c>
      <c r="F53" s="36" t="n">
        <f aca="false">F50-F52</f>
        <v>63874.7008</v>
      </c>
      <c r="G53" s="36" t="n">
        <f aca="false">G50-G52</f>
        <v>85218.114095</v>
      </c>
    </row>
    <row r="54" customFormat="false" ht="15" hidden="false" customHeight="true" outlineLevel="0" collapsed="false">
      <c r="A54" s="13" t="s">
        <v>620</v>
      </c>
      <c r="C54" s="16" t="n">
        <f aca="false">IFERROR(C53/C49,0)</f>
        <v>0.0595581287007327</v>
      </c>
      <c r="D54" s="16" t="n">
        <f aca="false">IFERROR(D53/D49,0)</f>
        <v>0.19417174882932</v>
      </c>
      <c r="E54" s="16" t="n">
        <f aca="false">IFERROR(E53/E49,0)</f>
        <v>0.243321958582268</v>
      </c>
      <c r="F54" s="16" t="n">
        <f aca="false">IFERROR(F53/F49,0)</f>
        <v>0.281382913521276</v>
      </c>
      <c r="G54" s="16" t="n">
        <f aca="false">IFERROR(G53/G49,0)</f>
        <v>0.300324490648286</v>
      </c>
    </row>
    <row r="55" customFormat="false" ht="15" hidden="false" customHeight="true" outlineLevel="0" collapsed="false">
      <c r="A55" s="13" t="s">
        <v>621</v>
      </c>
      <c r="C55" s="35" t="n">
        <f aca="false">Historicals!F43+Historicals!H13+C80*Inputs!$B$20/4</f>
        <v>3183.03125</v>
      </c>
      <c r="D55" s="35" t="n">
        <f aca="false">MAX(0,D80-D81)*Inputs!$B$20</f>
        <v>3441.61793498727</v>
      </c>
      <c r="E55" s="35" t="n">
        <f aca="false">MAX(0,E80-E81)*Inputs!$B$20</f>
        <v>4084.26110431816</v>
      </c>
      <c r="F55" s="35" t="n">
        <f aca="false">MAX(0,F80-F81)*Inputs!$B$20</f>
        <v>5124.44326311904</v>
      </c>
      <c r="G55" s="35" t="n">
        <f aca="false">MAX(0,G80-G81)*Inputs!$B$20</f>
        <v>6662.29271615098</v>
      </c>
    </row>
    <row r="56" customFormat="false" ht="15" hidden="false" customHeight="true" outlineLevel="0" collapsed="false">
      <c r="A56" s="13" t="s">
        <v>622</v>
      </c>
      <c r="C56" s="41" t="n">
        <f aca="false">Inputs!B$68</f>
        <v>0</v>
      </c>
      <c r="D56" s="41" t="n">
        <f aca="false">Inputs!C$68</f>
        <v>0</v>
      </c>
      <c r="E56" s="41" t="n">
        <f aca="false">Inputs!D$68</f>
        <v>0</v>
      </c>
      <c r="F56" s="41" t="n">
        <f aca="false">Inputs!E$68</f>
        <v>0</v>
      </c>
      <c r="G56" s="41" t="n">
        <f aca="false">Inputs!F$68</f>
        <v>0</v>
      </c>
    </row>
    <row r="57" customFormat="false" ht="15" hidden="false" customHeight="true" outlineLevel="0" collapsed="false">
      <c r="A57" s="13" t="s">
        <v>623</v>
      </c>
      <c r="C57" s="35" t="n">
        <f aca="false">IF(Inputs!$B$63=2026,Inputs!$B$62,0)</f>
        <v>0</v>
      </c>
      <c r="D57" s="35" t="n">
        <f aca="false">IF(Inputs!$B$63=2027,Inputs!$B$62,0)</f>
        <v>0</v>
      </c>
      <c r="E57" s="35" t="n">
        <f aca="false">IF(Inputs!$B$63=2028,Inputs!$B$62,0)</f>
        <v>0</v>
      </c>
      <c r="F57" s="35" t="n">
        <f aca="false">IF(Inputs!$B$63=2029,Inputs!$B$62,0)</f>
        <v>0</v>
      </c>
      <c r="G57" s="35" t="n">
        <f aca="false">IF(Inputs!$B$63=2030,Inputs!$B$62,0)</f>
        <v>0</v>
      </c>
    </row>
    <row r="58" customFormat="false" ht="15" hidden="false" customHeight="true" outlineLevel="0" collapsed="false">
      <c r="A58" s="13" t="s">
        <v>624</v>
      </c>
      <c r="C58" s="35" t="n">
        <f aca="false">C53+C55+C56-C57</f>
        <v>6413.58326698514</v>
      </c>
      <c r="D58" s="35" t="n">
        <f aca="false">D53+D55+D56-D57</f>
        <v>24506.1459349873</v>
      </c>
      <c r="E58" s="35" t="n">
        <f aca="false">E53+E55+E56-E57</f>
        <v>44998.8971043182</v>
      </c>
      <c r="F58" s="35" t="n">
        <f aca="false">F53+F55+F56-F57</f>
        <v>68999.1440631191</v>
      </c>
      <c r="G58" s="35" t="n">
        <f aca="false">G53+G55+G56-G57</f>
        <v>91880.406811151</v>
      </c>
    </row>
    <row r="59" customFormat="false" ht="15" hidden="false" customHeight="true" outlineLevel="0" collapsed="false">
      <c r="A59" s="13" t="s">
        <v>625</v>
      </c>
      <c r="C59" s="35" t="n">
        <f aca="false">C58*Inputs!$B$58</f>
        <v>4617.7799522293</v>
      </c>
      <c r="D59" s="35" t="n">
        <f aca="false">D58*Inputs!$B$58</f>
        <v>17644.4250731908</v>
      </c>
      <c r="E59" s="35" t="n">
        <f aca="false">E58*Inputs!$B$58</f>
        <v>32399.2059151091</v>
      </c>
      <c r="F59" s="35" t="n">
        <f aca="false">F58*Inputs!$B$58</f>
        <v>49679.3837254457</v>
      </c>
      <c r="G59" s="35" t="n">
        <f aca="false">G58*Inputs!$B$58</f>
        <v>66153.8929040287</v>
      </c>
    </row>
    <row r="60" customFormat="false" ht="15" hidden="false" customHeight="true" outlineLevel="0" collapsed="false">
      <c r="A60" s="13" t="s">
        <v>626</v>
      </c>
      <c r="C60" s="35" t="n">
        <f aca="false">Inputs!$B$60</f>
        <v>4200</v>
      </c>
      <c r="D60" s="35" t="n">
        <f aca="false">C62</f>
        <v>4200</v>
      </c>
      <c r="E60" s="35" t="n">
        <f aca="false">D62</f>
        <v>0</v>
      </c>
      <c r="F60" s="35" t="n">
        <f aca="false">E62</f>
        <v>0</v>
      </c>
      <c r="G60" s="35" t="n">
        <f aca="false">F62</f>
        <v>0</v>
      </c>
    </row>
    <row r="61" customFormat="false" ht="15" hidden="false" customHeight="true" outlineLevel="0" collapsed="false">
      <c r="A61" s="13" t="s">
        <v>627</v>
      </c>
      <c r="C61" s="35" t="n">
        <f aca="false">IF(AND(2026=2026,Inputs!$B$61=1),0,MIN(C60,MAX(0,C59)))</f>
        <v>0</v>
      </c>
      <c r="D61" s="35" t="n">
        <f aca="false">IF(AND(2027=2026,Inputs!$B$61=1),0,MIN(D60,MAX(0,D59)))</f>
        <v>4200</v>
      </c>
      <c r="E61" s="35" t="n">
        <f aca="false">IF(AND(2028=2026,Inputs!$B$61=1),0,MIN(E60,MAX(0,E59)))</f>
        <v>0</v>
      </c>
      <c r="F61" s="35" t="n">
        <f aca="false">IF(AND(2029=2026,Inputs!$B$61=1),0,MIN(F60,MAX(0,F59)))</f>
        <v>0</v>
      </c>
      <c r="G61" s="35" t="n">
        <f aca="false">IF(AND(2030=2026,Inputs!$B$61=1),0,MIN(G60,MAX(0,G59)))</f>
        <v>0</v>
      </c>
    </row>
    <row r="62" customFormat="false" ht="15" hidden="false" customHeight="true" outlineLevel="0" collapsed="false">
      <c r="A62" s="13" t="s">
        <v>628</v>
      </c>
      <c r="C62" s="35" t="n">
        <f aca="false">C60-C61+MAX(0,-C59)</f>
        <v>4200</v>
      </c>
      <c r="D62" s="35" t="n">
        <f aca="false">D60-D61+MAX(0,-D59)</f>
        <v>0</v>
      </c>
      <c r="E62" s="35" t="n">
        <f aca="false">E60-E61+MAX(0,-E59)</f>
        <v>0</v>
      </c>
      <c r="F62" s="35" t="n">
        <f aca="false">F60-F61+MAX(0,-F59)</f>
        <v>0</v>
      </c>
      <c r="G62" s="35" t="n">
        <f aca="false">G60-G61+MAX(0,-G59)</f>
        <v>0</v>
      </c>
    </row>
    <row r="63" customFormat="false" ht="15" hidden="false" customHeight="true" outlineLevel="0" collapsed="false">
      <c r="A63" s="13" t="s">
        <v>629</v>
      </c>
      <c r="C63" s="35" t="n">
        <f aca="false">MAX(0,C59-C61)*Inputs!$B$59</f>
        <v>277.066797133758</v>
      </c>
      <c r="D63" s="35" t="n">
        <f aca="false">MAX(0,D59-D61)*Inputs!$B$59</f>
        <v>806.665504391449</v>
      </c>
      <c r="E63" s="35" t="n">
        <f aca="false">MAX(0,E59-E61)*Inputs!$B$59</f>
        <v>1943.95235490654</v>
      </c>
      <c r="F63" s="35" t="n">
        <f aca="false">MAX(0,F59-F61)*Inputs!$B$59</f>
        <v>2980.76302352674</v>
      </c>
      <c r="G63" s="35" t="n">
        <f aca="false">MAX(0,G59-G61)*Inputs!$B$59</f>
        <v>3969.23357424172</v>
      </c>
    </row>
    <row r="64" customFormat="false" ht="15" hidden="false" customHeight="true" outlineLevel="0" collapsed="false">
      <c r="A64" s="13" t="s">
        <v>630</v>
      </c>
      <c r="C64" s="35" t="n">
        <f aca="false">C58-C63</f>
        <v>6136.51646985139</v>
      </c>
      <c r="D64" s="35" t="n">
        <f aca="false">D58-D63</f>
        <v>23699.4804305958</v>
      </c>
      <c r="E64" s="35" t="n">
        <f aca="false">E58-E63</f>
        <v>43054.9447494116</v>
      </c>
      <c r="F64" s="35" t="n">
        <f aca="false">F58-F63</f>
        <v>66018.3810395923</v>
      </c>
      <c r="G64" s="35" t="n">
        <f aca="false">G58-G63</f>
        <v>87911.1732369093</v>
      </c>
    </row>
    <row r="65" customFormat="false" ht="15" hidden="false" customHeight="true" outlineLevel="0" collapsed="false">
      <c r="A65" s="13" t="s">
        <v>631</v>
      </c>
      <c r="C65" s="35" t="n">
        <f aca="false">Inputs!$B$56</f>
        <v>8200</v>
      </c>
      <c r="D65" s="35" t="n">
        <f aca="false">C67</f>
        <v>3290.78682411889</v>
      </c>
      <c r="E65" s="35" t="n">
        <f aca="false">D67</f>
        <v>0</v>
      </c>
      <c r="F65" s="35" t="n">
        <f aca="false">E67</f>
        <v>0</v>
      </c>
      <c r="G65" s="35" t="n">
        <f aca="false">F67</f>
        <v>0</v>
      </c>
    </row>
    <row r="66" customFormat="false" ht="15" hidden="false" customHeight="true" outlineLevel="0" collapsed="false">
      <c r="A66" s="13" t="s">
        <v>632</v>
      </c>
      <c r="C66" s="35" t="n">
        <f aca="false">MIN(C65,Inputs!$B$57*MAX(0,C64))</f>
        <v>4909.21317588111</v>
      </c>
      <c r="D66" s="35" t="n">
        <f aca="false">MIN(D65,Inputs!$B$57*MAX(0,D64))</f>
        <v>3290.78682411889</v>
      </c>
      <c r="E66" s="35" t="n">
        <f aca="false">MIN(E65,Inputs!$B$57*MAX(0,E64))</f>
        <v>0</v>
      </c>
      <c r="F66" s="35" t="n">
        <f aca="false">MIN(F65,Inputs!$B$57*MAX(0,F64))</f>
        <v>0</v>
      </c>
      <c r="G66" s="35" t="n">
        <f aca="false">MIN(G65,Inputs!$B$57*MAX(0,G64))</f>
        <v>0</v>
      </c>
    </row>
    <row r="67" customFormat="false" ht="15" hidden="false" customHeight="true" outlineLevel="0" collapsed="false">
      <c r="A67" s="13" t="s">
        <v>633</v>
      </c>
      <c r="C67" s="35" t="n">
        <f aca="false">C65-C66+MAX(0,-C64)</f>
        <v>3290.78682411889</v>
      </c>
      <c r="D67" s="35" t="n">
        <f aca="false">D65-D66+MAX(0,-D64)</f>
        <v>0</v>
      </c>
      <c r="E67" s="35" t="n">
        <f aca="false">E65-E66+MAX(0,-E64)</f>
        <v>0</v>
      </c>
      <c r="F67" s="35" t="n">
        <f aca="false">F65-F66+MAX(0,-F64)</f>
        <v>0</v>
      </c>
      <c r="G67" s="35" t="n">
        <f aca="false">G65-G66+MAX(0,-G64)</f>
        <v>0</v>
      </c>
    </row>
    <row r="68" customFormat="false" ht="15" hidden="false" customHeight="true" outlineLevel="0" collapsed="false">
      <c r="A68" s="13" t="s">
        <v>634</v>
      </c>
      <c r="C68" s="35" t="n">
        <f aca="false">MAX(0,C64-C66)*Inputs!$B$55</f>
        <v>257.733691733758</v>
      </c>
      <c r="D68" s="35" t="n">
        <f aca="false">MAX(0,D64-D66)*Inputs!$B$55</f>
        <v>4285.82565736015</v>
      </c>
      <c r="E68" s="35" t="n">
        <f aca="false">MAX(0,E64-E66)*Inputs!$B$55</f>
        <v>9041.53839737644</v>
      </c>
      <c r="F68" s="35" t="n">
        <f aca="false">MAX(0,F64-F66)*Inputs!$B$55</f>
        <v>13863.8600183144</v>
      </c>
      <c r="G68" s="35" t="n">
        <f aca="false">MAX(0,G64-G66)*Inputs!$B$55</f>
        <v>18461.3463797509</v>
      </c>
    </row>
    <row r="69" customFormat="false" ht="15" hidden="false" customHeight="true" outlineLevel="0" collapsed="false">
      <c r="A69" s="10" t="s">
        <v>635</v>
      </c>
      <c r="C69" s="36" t="n">
        <f aca="false">IF(Inputs!$U$105=0,MAX(0,C53+C55)*Inputs!B$66,IF(Inputs!$U$105=2,MAX(0,C58)*Inputs!$U$106,C63+C68))</f>
        <v>534.800488867516</v>
      </c>
      <c r="D69" s="36" t="n">
        <f aca="false">IF(Inputs!$U$105=0,MAX(0,D53+D55)*Inputs!C$66,IF(Inputs!$U$105=2,MAX(0,D58)*Inputs!$U$106,D63+D68))</f>
        <v>5092.4911617516</v>
      </c>
      <c r="E69" s="36" t="n">
        <f aca="false">IF(Inputs!$U$105=0,MAX(0,E53+E55)*Inputs!D$66,IF(Inputs!$U$105=2,MAX(0,E58)*Inputs!$U$106,E63+E68))</f>
        <v>10985.490752283</v>
      </c>
      <c r="F69" s="36" t="n">
        <f aca="false">IF(Inputs!$U$105=0,MAX(0,F53+F55)*Inputs!E$66,IF(Inputs!$U$105=2,MAX(0,F58)*Inputs!$U$106,F63+F68))</f>
        <v>16844.6230418411</v>
      </c>
      <c r="G69" s="36" t="n">
        <f aca="false">IF(Inputs!$U$105=0,MAX(0,G53+G55)*Inputs!F$66,IF(Inputs!$U$105=2,MAX(0,G58)*Inputs!$U$106,G63+G68))</f>
        <v>22430.5799539927</v>
      </c>
    </row>
    <row r="70" customFormat="false" ht="15" hidden="false" customHeight="true" outlineLevel="0" collapsed="false">
      <c r="A70" s="13" t="s">
        <v>636</v>
      </c>
      <c r="C70" s="16" t="n">
        <f aca="false">IF(C58&gt;0,MIN(1,C69/C58),0)</f>
        <v>0.0833856</v>
      </c>
      <c r="D70" s="16" t="n">
        <f aca="false">IF(D58&gt;0,MIN(1,D69/D58),0)</f>
        <v>0.207804653382117</v>
      </c>
      <c r="E70" s="16" t="n">
        <f aca="false">IF(E58&gt;0,MIN(1,E69/E58),0)</f>
        <v>0.244128</v>
      </c>
      <c r="F70" s="16" t="n">
        <f aca="false">IF(F58&gt;0,MIN(1,F69/F58),0)</f>
        <v>0.244128</v>
      </c>
      <c r="G70" s="16" t="n">
        <f aca="false">IF(G58&gt;0,MIN(1,G69/G58),0)</f>
        <v>0.244128</v>
      </c>
    </row>
    <row r="71" customFormat="false" ht="15" hidden="false" customHeight="true" outlineLevel="0" collapsed="false">
      <c r="A71" s="13" t="s">
        <v>637</v>
      </c>
      <c r="C71" s="35" t="n">
        <f aca="false">C53+C55-C69</f>
        <v>5878.78277811763</v>
      </c>
      <c r="D71" s="35" t="n">
        <f aca="false">D53+D55-D69</f>
        <v>19413.6547732357</v>
      </c>
      <c r="E71" s="35" t="n">
        <f aca="false">E53+E55-E69</f>
        <v>34013.4063520352</v>
      </c>
      <c r="F71" s="35" t="n">
        <f aca="false">F53+F55-F69</f>
        <v>52154.5210212779</v>
      </c>
      <c r="G71" s="35" t="n">
        <f aca="false">G53+G55-G69</f>
        <v>69449.8268571583</v>
      </c>
    </row>
    <row r="72" customFormat="false" ht="15" hidden="false" customHeight="true" outlineLevel="0" collapsed="false">
      <c r="A72" s="13" t="s">
        <v>638</v>
      </c>
      <c r="C72" s="35" t="n">
        <f aca="false">C12+C20</f>
        <v>6666.19462137297</v>
      </c>
      <c r="D72" s="35" t="n">
        <f aca="false">D12+D20</f>
        <v>9763.56</v>
      </c>
      <c r="E72" s="35" t="n">
        <f aca="false">E12+E20</f>
        <v>13452.016</v>
      </c>
      <c r="F72" s="35" t="n">
        <f aca="false">F12+F20</f>
        <v>15890.1939</v>
      </c>
      <c r="G72" s="35" t="n">
        <f aca="false">G12+G20</f>
        <v>17025.20775</v>
      </c>
    </row>
    <row r="73" customFormat="false" ht="15" hidden="false" customHeight="true" outlineLevel="0" collapsed="false">
      <c r="A73" s="13" t="s">
        <v>639</v>
      </c>
      <c r="C73" s="33" t="n">
        <v>0</v>
      </c>
      <c r="D73" s="35" t="n">
        <f aca="false">-(D5-C5)*Inputs!$B$33</f>
        <v>-0</v>
      </c>
      <c r="E73" s="35" t="n">
        <f aca="false">-(E5-D5)*Inputs!$B$33</f>
        <v>-0</v>
      </c>
      <c r="F73" s="35" t="n">
        <f aca="false">-(F5-E5)*Inputs!$B$33</f>
        <v>-0</v>
      </c>
      <c r="G73" s="35" t="n">
        <f aca="false">-(G5-F5)*Inputs!$B$33</f>
        <v>-0</v>
      </c>
    </row>
    <row r="74" customFormat="false" ht="15" hidden="false" customHeight="true" outlineLevel="0" collapsed="false">
      <c r="A74" s="13" t="s">
        <v>640</v>
      </c>
      <c r="C74" s="35" t="n">
        <f aca="false">-C$42+C$45</f>
        <v>0</v>
      </c>
      <c r="D74" s="35" t="n">
        <f aca="false">-D$42+D$45</f>
        <v>0</v>
      </c>
      <c r="E74" s="35" t="n">
        <f aca="false">-E$42+E$45</f>
        <v>0</v>
      </c>
      <c r="F74" s="35" t="n">
        <f aca="false">-F$42+F$45</f>
        <v>0</v>
      </c>
      <c r="G74" s="35" t="n">
        <f aca="false">-G$42+G$45</f>
        <v>0</v>
      </c>
    </row>
    <row r="75" customFormat="false" ht="15" hidden="false" customHeight="true" outlineLevel="0" collapsed="false">
      <c r="A75" s="10" t="s">
        <v>641</v>
      </c>
      <c r="C75" s="36" t="n">
        <f aca="false">C53+C72+C52+C55-C69-C51+C73+C74</f>
        <v>10917.7173994906</v>
      </c>
      <c r="D75" s="36" t="n">
        <f aca="false">D53+D72+D52+D55-D69-D51+D73+D74</f>
        <v>25705.7267732357</v>
      </c>
      <c r="E75" s="36" t="n">
        <f aca="false">E53+E72+E52+E55-E69-E51+E73+E74</f>
        <v>41607.2863520352</v>
      </c>
      <c r="F75" s="36" t="n">
        <f aca="false">F53+F72+F52+F55-F69-F51+F73+F74</f>
        <v>61513.9781212779</v>
      </c>
      <c r="G75" s="36" t="n">
        <f aca="false">G53+G72+G52+G55-G69-G51+G73+G74</f>
        <v>79944.2978071583</v>
      </c>
    </row>
    <row r="76" customFormat="false" ht="15" hidden="false" customHeight="true" outlineLevel="0" collapsed="false">
      <c r="A76" s="10" t="s">
        <v>642</v>
      </c>
      <c r="C76" s="36" t="n">
        <f aca="false">C53+C52-(C69-C55*C70)-C51+C73+C74</f>
        <v>1333.91049871763</v>
      </c>
      <c r="D76" s="36" t="n">
        <f aca="false">D53+D52-(D69-D55*D70)-D51+D73+D74</f>
        <v>13215.7330603021</v>
      </c>
      <c r="E76" s="36" t="n">
        <f aca="false">E53+E52-(E69-E55*E70)-E51+E73+E74</f>
        <v>25068.091742592</v>
      </c>
      <c r="F76" s="36" t="n">
        <f aca="false">F53+F52-(F69-F55*F70)-F51+F73+F74</f>
        <v>41750.3610430976</v>
      </c>
      <c r="G76" s="36" t="n">
        <f aca="false">G53+G52-(G69-G55*G70)-G51+G73+G74</f>
        <v>57883.2495372159</v>
      </c>
    </row>
    <row r="77" customFormat="false" ht="15" hidden="false" customHeight="true" outlineLevel="0" collapsed="false">
      <c r="A77" s="13" t="s">
        <v>643</v>
      </c>
      <c r="C77" s="16" t="n">
        <f aca="false">IFERROR(C76/C49,0)</f>
        <v>0.0245918384041449</v>
      </c>
      <c r="D77" s="16" t="n">
        <f aca="false">IFERROR(D76/D49,0)</f>
        <v>0.121821955867244</v>
      </c>
      <c r="E77" s="16" t="n">
        <f aca="false">IFERROR(E76/E49,0)</f>
        <v>0.149081545800076</v>
      </c>
      <c r="F77" s="16" t="n">
        <f aca="false">IFERROR(F76/F49,0)</f>
        <v>0.183920051033287</v>
      </c>
      <c r="G77" s="16" t="n">
        <f aca="false">IFERROR(G76/G49,0)</f>
        <v>0.203991341734608</v>
      </c>
    </row>
    <row r="79" customFormat="false" ht="15" hidden="false" customHeight="true" outlineLevel="0" collapsed="false">
      <c r="A79" s="8" t="s">
        <v>644</v>
      </c>
      <c r="B79" s="9"/>
      <c r="C79" s="9" t="s">
        <v>645</v>
      </c>
      <c r="D79" s="9" t="s">
        <v>576</v>
      </c>
      <c r="E79" s="9" t="s">
        <v>577</v>
      </c>
      <c r="F79" s="9" t="s">
        <v>578</v>
      </c>
      <c r="G79" s="9" t="s">
        <v>579</v>
      </c>
    </row>
    <row r="80" customFormat="false" ht="15" hidden="false" customHeight="true" outlineLevel="0" collapsed="false">
      <c r="A80" s="13" t="s">
        <v>646</v>
      </c>
      <c r="C80" s="35" t="n">
        <f aca="false">Inputs!$B$41</f>
        <v>131845</v>
      </c>
      <c r="D80" s="35" t="n">
        <f aca="false">C85</f>
        <v>137664.717399491</v>
      </c>
      <c r="E80" s="35" t="n">
        <f aca="false">D85</f>
        <v>163370.444172726</v>
      </c>
      <c r="F80" s="35" t="n">
        <f aca="false">E85</f>
        <v>204977.730524761</v>
      </c>
      <c r="G80" s="35" t="n">
        <f aca="false">F85</f>
        <v>266491.708646039</v>
      </c>
    </row>
    <row r="81" customFormat="false" ht="15" hidden="false" customHeight="true" outlineLevel="0" collapsed="false">
      <c r="A81" s="13" t="s">
        <v>647</v>
      </c>
      <c r="C81" s="35" t="n">
        <f aca="false">C$42</f>
        <v>0</v>
      </c>
      <c r="D81" s="35" t="n">
        <f aca="false">D$42</f>
        <v>0</v>
      </c>
      <c r="E81" s="35" t="n">
        <f aca="false">E$42</f>
        <v>0</v>
      </c>
      <c r="F81" s="35" t="n">
        <f aca="false">F$42</f>
        <v>0</v>
      </c>
      <c r="G81" s="35" t="n">
        <f aca="false">G$42</f>
        <v>0</v>
      </c>
    </row>
    <row r="82" customFormat="false" ht="15" hidden="false" customHeight="true" outlineLevel="0" collapsed="false">
      <c r="A82" s="13" t="s">
        <v>648</v>
      </c>
      <c r="B82" s="6" t="s">
        <v>649</v>
      </c>
      <c r="C82" s="35" t="n">
        <f aca="false">C75-Historicals!$B$79-Historicals!$B$95</f>
        <v>5819.71739949059</v>
      </c>
      <c r="D82" s="35" t="n">
        <f aca="false">D75</f>
        <v>25705.7267732357</v>
      </c>
      <c r="E82" s="35" t="n">
        <f aca="false">E75</f>
        <v>41607.2863520352</v>
      </c>
      <c r="F82" s="35" t="n">
        <f aca="false">F75</f>
        <v>61513.9781212779</v>
      </c>
      <c r="G82" s="35" t="n">
        <f aca="false">G75</f>
        <v>79944.2978071583</v>
      </c>
    </row>
    <row r="83" customFormat="false" ht="15" hidden="false" customHeight="true" outlineLevel="0" collapsed="false">
      <c r="A83" s="13" t="s">
        <v>650</v>
      </c>
      <c r="C83" s="35" t="n">
        <f aca="false">-Inputs!$B$17</f>
        <v>-0</v>
      </c>
      <c r="D83" s="33" t="n">
        <v>0</v>
      </c>
      <c r="E83" s="33" t="n">
        <v>0</v>
      </c>
      <c r="F83" s="33" t="n">
        <v>0</v>
      </c>
      <c r="G83" s="33" t="n">
        <v>0</v>
      </c>
    </row>
    <row r="84" customFormat="false" ht="15" hidden="false" customHeight="true" outlineLevel="0" collapsed="false">
      <c r="A84" s="13" t="s">
        <v>651</v>
      </c>
      <c r="C84" s="35" t="n">
        <f aca="false">Inputs!$B$15</f>
        <v>0</v>
      </c>
      <c r="D84" s="33" t="n">
        <v>0</v>
      </c>
      <c r="E84" s="33" t="n">
        <v>0</v>
      </c>
      <c r="F84" s="33" t="n">
        <v>0</v>
      </c>
      <c r="G84" s="33" t="n">
        <v>0</v>
      </c>
    </row>
    <row r="85" customFormat="false" ht="15" hidden="false" customHeight="true" outlineLevel="0" collapsed="false">
      <c r="A85" s="10" t="s">
        <v>652</v>
      </c>
      <c r="C85" s="36" t="n">
        <f aca="false">C80+C82+C83+C84</f>
        <v>137664.717399491</v>
      </c>
      <c r="D85" s="36" t="n">
        <f aca="false">D80+D82+D83+D84</f>
        <v>163370.444172726</v>
      </c>
      <c r="E85" s="36" t="n">
        <f aca="false">E80+E82+E83+E84</f>
        <v>204977.730524761</v>
      </c>
      <c r="F85" s="36" t="n">
        <f aca="false">F80+F82+F83+F84</f>
        <v>266491.708646039</v>
      </c>
      <c r="G85" s="36" t="n">
        <f aca="false">G80+G82+G83+G84</f>
        <v>346436.006453198</v>
      </c>
    </row>
    <row r="86" customFormat="false" ht="15" hidden="false" customHeight="true" outlineLevel="0" collapsed="false">
      <c r="A86" s="13" t="s">
        <v>653</v>
      </c>
      <c r="C86" s="35" t="n">
        <f aca="false">MIN(C80-C81,C85)</f>
        <v>131845</v>
      </c>
      <c r="D86" s="35" t="n">
        <f aca="false">MIN(D80-D81,D85)</f>
        <v>137664.717399491</v>
      </c>
      <c r="E86" s="35" t="n">
        <f aca="false">MIN(E80-E81,E85)</f>
        <v>163370.444172726</v>
      </c>
      <c r="F86" s="35" t="n">
        <f aca="false">MIN(F80-F81,F85)</f>
        <v>204977.730524761</v>
      </c>
      <c r="G86" s="35" t="n">
        <f aca="false">MIN(G80-G81,G85)</f>
        <v>266491.708646039</v>
      </c>
    </row>
    <row r="87" customFormat="false" ht="15" hidden="false" customHeight="true" outlineLevel="0" collapsed="false">
      <c r="A87" s="13" t="s">
        <v>654</v>
      </c>
      <c r="C87" s="35" t="n">
        <f aca="false">C86-Inputs!$B$29</f>
        <v>126845</v>
      </c>
      <c r="D87" s="35" t="n">
        <f aca="false">D86-Inputs!$B$29</f>
        <v>132664.717399491</v>
      </c>
      <c r="E87" s="35" t="n">
        <f aca="false">E86-Inputs!$B$29</f>
        <v>158370.444172726</v>
      </c>
      <c r="F87" s="35" t="n">
        <f aca="false">F86-Inputs!$B$29</f>
        <v>199977.730524761</v>
      </c>
      <c r="G87" s="35" t="n">
        <f aca="false">G86-Inputs!$B$29</f>
        <v>261491.708646039</v>
      </c>
    </row>
    <row r="88" customFormat="false" ht="15" hidden="false" customHeight="true" outlineLevel="0" collapsed="false">
      <c r="A88" s="13" t="s">
        <v>655</v>
      </c>
      <c r="C88" s="56" t="str">
        <f aca="false">IF(C85&lt;Inputs!$B$38,"Below","OK")</f>
        <v>OK</v>
      </c>
      <c r="D88" s="56" t="str">
        <f aca="false">IF(D85&lt;Inputs!$B$38,"Below","OK")</f>
        <v>OK</v>
      </c>
      <c r="E88" s="56" t="str">
        <f aca="false">IF(E85&lt;Inputs!$B$38,"Below","OK")</f>
        <v>OK</v>
      </c>
      <c r="F88" s="56" t="str">
        <f aca="false">IF(F85&lt;Inputs!$B$38,"Below","OK")</f>
        <v>OK</v>
      </c>
      <c r="G88" s="56" t="str">
        <f aca="false">IF(G85&lt;Inputs!$B$38,"Below","OK")</f>
        <v>OK</v>
      </c>
    </row>
    <row r="89" customFormat="false" ht="15" hidden="false" customHeight="true" outlineLevel="0" collapsed="false">
      <c r="A89" s="13" t="s">
        <v>656</v>
      </c>
      <c r="C89" s="56" t="str">
        <f aca="false">IF(C87&lt;0,"Shortfall","OK")</f>
        <v>OK</v>
      </c>
      <c r="D89" s="56" t="str">
        <f aca="false">IF(D87&lt;0,"Shortfall","OK")</f>
        <v>OK</v>
      </c>
      <c r="E89" s="56" t="str">
        <f aca="false">IF(E87&lt;0,"Shortfall","OK")</f>
        <v>OK</v>
      </c>
      <c r="F89" s="56" t="str">
        <f aca="false">IF(F87&lt;0,"Shortfall","OK")</f>
        <v>OK</v>
      </c>
      <c r="G89" s="56" t="str">
        <f aca="false">IF(G87&lt;0,"Shortfall","OK")</f>
        <v>OK</v>
      </c>
    </row>
    <row r="90" customFormat="false" ht="15" hidden="false" customHeight="true" outlineLevel="0" collapsed="false">
      <c r="A90" s="10" t="s">
        <v>657</v>
      </c>
      <c r="G90" s="36" t="n">
        <f aca="false">MAX(0,-MIN(C87:G87))</f>
        <v>0</v>
      </c>
    </row>
    <row r="91" customFormat="false" ht="15" hidden="false" customHeight="true" outlineLevel="0" collapsed="false">
      <c r="A91" s="13" t="s">
        <v>658</v>
      </c>
      <c r="G91" s="35" t="n">
        <f aca="false">MAX(0,-MIN(C86:G86))</f>
        <v>0</v>
      </c>
    </row>
    <row r="92" customFormat="false" ht="15" hidden="false" customHeight="true" outlineLevel="0" collapsed="false">
      <c r="A92" s="8" t="s">
        <v>659</v>
      </c>
      <c r="B92" s="9"/>
      <c r="C92" s="9" t="s">
        <v>645</v>
      </c>
      <c r="D92" s="9" t="s">
        <v>576</v>
      </c>
      <c r="E92" s="9" t="s">
        <v>577</v>
      </c>
      <c r="F92" s="9" t="s">
        <v>578</v>
      </c>
      <c r="G92" s="9" t="s">
        <v>579</v>
      </c>
    </row>
    <row r="93" customFormat="false" ht="15" hidden="false" customHeight="true" outlineLevel="0" collapsed="false">
      <c r="A93" s="13" t="s">
        <v>660</v>
      </c>
      <c r="G93" s="51" t="str">
        <f aca="false">IF(G90=0,"none",IFERROR(2025+MATCH(1,INDEX(--(C87:G87&lt;0),0),0),"none"))</f>
        <v>none</v>
      </c>
    </row>
    <row r="94" customFormat="false" ht="15" hidden="false" customHeight="true" outlineLevel="0" collapsed="false">
      <c r="A94" s="13" t="s">
        <v>661</v>
      </c>
      <c r="G94" s="35" t="n">
        <f aca="false">G90</f>
        <v>0</v>
      </c>
    </row>
    <row r="95" customFormat="false" ht="15" hidden="false" customHeight="true" outlineLevel="0" collapsed="false">
      <c r="A95" s="13" t="s">
        <v>662</v>
      </c>
      <c r="G95" s="35" t="n">
        <f aca="false">G94/(1-Inputs!$B$31)*Inputs!$B$31</f>
        <v>0</v>
      </c>
    </row>
    <row r="96" customFormat="false" ht="15" hidden="false" customHeight="true" outlineLevel="0" collapsed="false">
      <c r="A96" s="13" t="s">
        <v>663</v>
      </c>
      <c r="G96" s="35" t="n">
        <f aca="false">G94+G95</f>
        <v>0</v>
      </c>
    </row>
    <row r="97" customFormat="false" ht="15" hidden="false" customHeight="true" outlineLevel="0" collapsed="false">
      <c r="A97" s="13" t="s">
        <v>664</v>
      </c>
      <c r="C97" s="35" t="n">
        <f aca="false">IF(AND(ISNUMBER($G$93),$G$93=2026),$G$94,0)</f>
        <v>0</v>
      </c>
      <c r="D97" s="35" t="n">
        <f aca="false">IF(AND(ISNUMBER($G$93),$G$93=2027),$G$94,0)</f>
        <v>0</v>
      </c>
      <c r="E97" s="35" t="n">
        <f aca="false">IF(AND(ISNUMBER($G$93),$G$93=2028),$G$94,0)</f>
        <v>0</v>
      </c>
      <c r="F97" s="35" t="n">
        <f aca="false">IF(AND(ISNUMBER($G$93),$G$93=2029),$G$94,0)</f>
        <v>0</v>
      </c>
      <c r="G97" s="35" t="n">
        <f aca="false">IF(AND(ISNUMBER($G$93),$G$93=2030),$G$94,0)</f>
        <v>0</v>
      </c>
    </row>
    <row r="98" customFormat="false" ht="15" hidden="false" customHeight="true" outlineLevel="0" collapsed="false">
      <c r="A98" s="13" t="s">
        <v>665</v>
      </c>
      <c r="C98" s="35" t="n">
        <f aca="false">C97*Inputs!$B$20/4</f>
        <v>0</v>
      </c>
      <c r="D98" s="35" t="n">
        <f aca="false">MAX(0,C100-D81+D97)*Inputs!$B$20-D55</f>
        <v>0</v>
      </c>
      <c r="E98" s="35" t="n">
        <f aca="false">MAX(0,D100-E81+E97)*Inputs!$B$20-E55</f>
        <v>0</v>
      </c>
      <c r="F98" s="35" t="n">
        <f aca="false">MAX(0,E100-F81+F97)*Inputs!$B$20-F55</f>
        <v>0</v>
      </c>
      <c r="G98" s="35" t="n">
        <f aca="false">MAX(0,F100-G81+G97)*Inputs!$B$20-G55</f>
        <v>0</v>
      </c>
    </row>
    <row r="99" customFormat="false" ht="15" hidden="false" customHeight="true" outlineLevel="0" collapsed="false">
      <c r="A99" s="13" t="s">
        <v>666</v>
      </c>
      <c r="C99" s="35" t="n">
        <f aca="false">C98*C70</f>
        <v>0</v>
      </c>
      <c r="D99" s="35" t="n">
        <f aca="false">D98*D70</f>
        <v>0</v>
      </c>
      <c r="E99" s="35" t="n">
        <f aca="false">E98*E70</f>
        <v>0</v>
      </c>
      <c r="F99" s="35" t="n">
        <f aca="false">F98*F70</f>
        <v>0</v>
      </c>
      <c r="G99" s="35" t="n">
        <f aca="false">G98*G70</f>
        <v>0</v>
      </c>
    </row>
    <row r="100" customFormat="false" ht="15" hidden="false" customHeight="true" outlineLevel="0" collapsed="false">
      <c r="A100" s="13" t="s">
        <v>667</v>
      </c>
      <c r="C100" s="35" t="n">
        <f aca="false">C85+SUM($C97:C97)+SUM($C98:C98)-SUM($C99:C99)</f>
        <v>137664.717399491</v>
      </c>
      <c r="D100" s="35" t="n">
        <f aca="false">D85+SUM($C97:D97)+SUM($C98:D98)-SUM($C99:D99)</f>
        <v>163370.444172726</v>
      </c>
      <c r="E100" s="35" t="n">
        <f aca="false">E85+SUM($C97:E97)+SUM($C98:E98)-SUM($C99:E99)</f>
        <v>204977.730524761</v>
      </c>
      <c r="F100" s="35" t="n">
        <f aca="false">F85+SUM($C97:F97)+SUM($C98:F98)-SUM($C99:F99)</f>
        <v>266491.708646039</v>
      </c>
      <c r="G100" s="35" t="n">
        <f aca="false">G85+SUM($C97:G97)+SUM($C98:G98)-SUM($C99:G99)</f>
        <v>346436.006453198</v>
      </c>
    </row>
    <row r="101" customFormat="false" ht="15" hidden="false" customHeight="true" outlineLevel="0" collapsed="false">
      <c r="A101" s="13" t="s">
        <v>668</v>
      </c>
      <c r="C101" s="35" t="n">
        <f aca="false">MIN(C80-C81+0+C97,C100)</f>
        <v>131845</v>
      </c>
      <c r="D101" s="35" t="n">
        <f aca="false">MIN(D80-D81+SUM($C97:C97)+SUM($C98:C98)-SUM($C99:C99)+D97,D100)</f>
        <v>137664.717399491</v>
      </c>
      <c r="E101" s="35" t="n">
        <f aca="false">MIN(E80-E81+SUM($C97:D97)+SUM($C98:D98)-SUM($C99:D99)+E97,E100)</f>
        <v>163370.444172726</v>
      </c>
      <c r="F101" s="35" t="n">
        <f aca="false">MIN(F80-F81+SUM($C97:E97)+SUM($C98:E98)-SUM($C99:E99)+F97,F100)</f>
        <v>204977.730524761</v>
      </c>
      <c r="G101" s="35" t="n">
        <f aca="false">MIN(G80-G81+SUM($C97:F97)+SUM($C98:F98)-SUM($C99:F99)+G97,G100)</f>
        <v>266491.708646039</v>
      </c>
    </row>
    <row r="102" customFormat="false" ht="15" hidden="false" customHeight="true" outlineLevel="0" collapsed="false">
      <c r="A102" s="13" t="s">
        <v>669</v>
      </c>
      <c r="C102" s="56" t="str">
        <f aca="false">IF(C101-Inputs!$B$29&lt;-0.5,"No","Yes")</f>
        <v>Yes</v>
      </c>
      <c r="D102" s="56" t="str">
        <f aca="false">IF(D101-Inputs!$B$29&lt;-0.5,"No","Yes")</f>
        <v>Yes</v>
      </c>
      <c r="E102" s="56" t="str">
        <f aca="false">IF(E101-Inputs!$B$29&lt;-0.5,"No","Yes")</f>
        <v>Yes</v>
      </c>
      <c r="F102" s="56" t="str">
        <f aca="false">IF(F101-Inputs!$B$29&lt;-0.5,"No","Yes")</f>
        <v>Yes</v>
      </c>
      <c r="G102" s="56" t="str">
        <f aca="false">IF(G101-Inputs!$B$29&lt;-0.5,"No","Yes")</f>
        <v>Yes</v>
      </c>
    </row>
    <row r="104" customFormat="false" ht="15" hidden="false" customHeight="true" outlineLevel="0" collapsed="false">
      <c r="A104" s="37" t="s">
        <v>670</v>
      </c>
      <c r="B104" s="38"/>
      <c r="C104" s="38"/>
      <c r="D104" s="38"/>
      <c r="E104" s="38"/>
      <c r="F104" s="38"/>
      <c r="G104" s="38"/>
    </row>
    <row r="105" customFormat="false" ht="15" hidden="false" customHeight="true" outlineLevel="0" collapsed="false">
      <c r="A105" s="13" t="s">
        <v>218</v>
      </c>
      <c r="C105" s="35" t="n">
        <f aca="false">C5+C31</f>
        <v>54242</v>
      </c>
      <c r="D105" s="35" t="n">
        <f aca="false">D5+D31</f>
        <v>110436.712</v>
      </c>
      <c r="E105" s="35" t="n">
        <f aca="false">E5+E31</f>
        <v>175716.959</v>
      </c>
      <c r="F105" s="35" t="n">
        <f aca="false">F5+F31</f>
        <v>247433.0193</v>
      </c>
      <c r="G105" s="35" t="n">
        <f aca="false">G5+G31</f>
        <v>322060.1799375</v>
      </c>
    </row>
    <row r="106" customFormat="false" ht="15" hidden="false" customHeight="true" outlineLevel="0" collapsed="false">
      <c r="A106" s="13" t="s">
        <v>588</v>
      </c>
      <c r="C106" s="35" t="n">
        <f aca="false">C17+C35</f>
        <v>3230.55201698514</v>
      </c>
      <c r="D106" s="35" t="n">
        <f aca="false">D17+D35</f>
        <v>22713.4848</v>
      </c>
      <c r="E106" s="35" t="n">
        <f aca="false">E17+E35</f>
        <v>46490.7136</v>
      </c>
      <c r="F106" s="35" t="n">
        <f aca="false">F17+F35</f>
        <v>76866.20222</v>
      </c>
      <c r="G106" s="35" t="n">
        <f aca="false">G17+G35</f>
        <v>108197.737395</v>
      </c>
    </row>
    <row r="107" customFormat="false" ht="15" hidden="false" customHeight="true" outlineLevel="0" collapsed="false">
      <c r="A107" s="13" t="s">
        <v>617</v>
      </c>
      <c r="C107" s="35" t="n">
        <f aca="false">C51+C37</f>
        <v>1627.26</v>
      </c>
      <c r="D107" s="35" t="n">
        <f aca="false">D51+D37</f>
        <v>4417.46848</v>
      </c>
      <c r="E107" s="35" t="n">
        <f aca="false">E51+E37</f>
        <v>8785.84795</v>
      </c>
      <c r="F107" s="35" t="n">
        <f aca="false">F51+F37</f>
        <v>12371.650965</v>
      </c>
      <c r="G107" s="35" t="n">
        <f aca="false">G51+G37</f>
        <v>16103.008996875</v>
      </c>
    </row>
    <row r="108" customFormat="false" ht="15" hidden="false" customHeight="true" outlineLevel="0" collapsed="false">
      <c r="A108" s="13" t="s">
        <v>618</v>
      </c>
      <c r="C108" s="33" t="n">
        <v>0</v>
      </c>
      <c r="D108" s="35" t="n">
        <f aca="false">SUMPRODUCT($D107:D107,--((4-COLUMN($D107:D107))&lt;Inputs!$B$32))/Inputs!$B$32</f>
        <v>883.493696</v>
      </c>
      <c r="E108" s="35" t="n">
        <f aca="false">SUMPRODUCT($D107:E107,--((5-COLUMN($D107:E107))&lt;Inputs!$B$32))/Inputs!$B$32</f>
        <v>2640.663286</v>
      </c>
      <c r="F108" s="35" t="n">
        <f aca="false">SUMPRODUCT($D107:F107,--((6-COLUMN($D107:F107))&lt;Inputs!$B$32))/Inputs!$B$32</f>
        <v>5114.993479</v>
      </c>
      <c r="G108" s="35" t="n">
        <f aca="false">SUMPRODUCT($D107:G107,--((7-COLUMN($D107:G107))&lt;Inputs!$B$32))/Inputs!$B$32</f>
        <v>8335.595278375</v>
      </c>
    </row>
    <row r="109" customFormat="false" ht="15" hidden="false" customHeight="true" outlineLevel="0" collapsed="false">
      <c r="A109" s="10" t="s">
        <v>619</v>
      </c>
      <c r="C109" s="36" t="n">
        <f aca="false">C106-C108</f>
        <v>3230.55201698514</v>
      </c>
      <c r="D109" s="36" t="n">
        <f aca="false">D106-D108</f>
        <v>21829.991104</v>
      </c>
      <c r="E109" s="36" t="n">
        <f aca="false">E106-E108</f>
        <v>43850.050314</v>
      </c>
      <c r="F109" s="36" t="n">
        <f aca="false">F106-F108</f>
        <v>71751.208741</v>
      </c>
      <c r="G109" s="36" t="n">
        <f aca="false">G106-G108</f>
        <v>99862.142116625</v>
      </c>
    </row>
    <row r="110" customFormat="false" ht="15" hidden="false" customHeight="true" outlineLevel="0" collapsed="false">
      <c r="A110" s="13" t="s">
        <v>620</v>
      </c>
      <c r="C110" s="16" t="n">
        <f aca="false">IFERROR(C109/C105,0)</f>
        <v>0.0595581287007327</v>
      </c>
      <c r="D110" s="16" t="n">
        <f aca="false">IFERROR(D109/D105,0)</f>
        <v>0.197669694331356</v>
      </c>
      <c r="E110" s="16" t="n">
        <f aca="false">IFERROR(E109/E105,0)</f>
        <v>0.249549335269341</v>
      </c>
      <c r="F110" s="16" t="n">
        <f aca="false">IFERROR(F109/F105,0)</f>
        <v>0.289982351361139</v>
      </c>
      <c r="G110" s="16" t="n">
        <f aca="false">IFERROR(G109/G105,0)</f>
        <v>0.31007292530236</v>
      </c>
    </row>
    <row r="111" customFormat="false" ht="15" hidden="false" customHeight="true" outlineLevel="0" collapsed="false">
      <c r="A111" s="13" t="s">
        <v>621</v>
      </c>
      <c r="C111" s="35" t="n">
        <f aca="false">Historicals!F43+Historicals!H13+C136*Inputs!$B$20/4</f>
        <v>3183.03125</v>
      </c>
      <c r="D111" s="35" t="n">
        <f aca="false">MAX(0,D136-D137)*Inputs!$B$20</f>
        <v>3441.61793498727</v>
      </c>
      <c r="E111" s="35" t="n">
        <f aca="false">MAX(0,E136-E137)*Inputs!$B$20</f>
        <v>4097.16373790182</v>
      </c>
      <c r="F111" s="35" t="n">
        <f aca="false">MAX(0,F136-F137)*Inputs!$B$20</f>
        <v>5185.8834357978</v>
      </c>
      <c r="G111" s="35" t="n">
        <f aca="false">MAX(0,G136-G137)*Inputs!$B$20</f>
        <v>6855.58668959432</v>
      </c>
    </row>
    <row r="112" customFormat="false" ht="15" hidden="false" customHeight="true" outlineLevel="0" collapsed="false">
      <c r="A112" s="13" t="s">
        <v>622</v>
      </c>
      <c r="C112" s="41" t="n">
        <f aca="false">Inputs!B$68</f>
        <v>0</v>
      </c>
      <c r="D112" s="41" t="n">
        <f aca="false">Inputs!C$68</f>
        <v>0</v>
      </c>
      <c r="E112" s="41" t="n">
        <f aca="false">Inputs!D$68</f>
        <v>0</v>
      </c>
      <c r="F112" s="41" t="n">
        <f aca="false">Inputs!E$68</f>
        <v>0</v>
      </c>
      <c r="G112" s="41" t="n">
        <f aca="false">Inputs!F$68</f>
        <v>0</v>
      </c>
    </row>
    <row r="113" customFormat="false" ht="15" hidden="false" customHeight="true" outlineLevel="0" collapsed="false">
      <c r="A113" s="13" t="s">
        <v>623</v>
      </c>
      <c r="C113" s="35" t="n">
        <f aca="false">IF(Inputs!$B$63=2026,Inputs!$B$62,0)</f>
        <v>0</v>
      </c>
      <c r="D113" s="35" t="n">
        <f aca="false">IF(Inputs!$B$63=2027,Inputs!$B$62,0)</f>
        <v>0</v>
      </c>
      <c r="E113" s="35" t="n">
        <f aca="false">IF(Inputs!$B$63=2028,Inputs!$B$62,0)</f>
        <v>0</v>
      </c>
      <c r="F113" s="35" t="n">
        <f aca="false">IF(Inputs!$B$63=2029,Inputs!$B$62,0)</f>
        <v>0</v>
      </c>
      <c r="G113" s="35" t="n">
        <f aca="false">IF(Inputs!$B$63=2030,Inputs!$B$62,0)</f>
        <v>0</v>
      </c>
    </row>
    <row r="114" customFormat="false" ht="15" hidden="false" customHeight="true" outlineLevel="0" collapsed="false">
      <c r="A114" s="13" t="s">
        <v>624</v>
      </c>
      <c r="C114" s="35" t="n">
        <f aca="false">C109+C111+C112-C113</f>
        <v>6413.58326698514</v>
      </c>
      <c r="D114" s="35" t="n">
        <f aca="false">D109+D111+D112-D113</f>
        <v>25271.6090389873</v>
      </c>
      <c r="E114" s="35" t="n">
        <f aca="false">E109+E111+E112-E113</f>
        <v>47947.2140519018</v>
      </c>
      <c r="F114" s="35" t="n">
        <f aca="false">F109+F111+F112-F113</f>
        <v>76937.0921767978</v>
      </c>
      <c r="G114" s="35" t="n">
        <f aca="false">G109+G111+G112-G113</f>
        <v>106717.728806219</v>
      </c>
    </row>
    <row r="115" customFormat="false" ht="15" hidden="false" customHeight="true" outlineLevel="0" collapsed="false">
      <c r="A115" s="13" t="s">
        <v>625</v>
      </c>
      <c r="C115" s="35" t="n">
        <f aca="false">C114*Inputs!$B$58</f>
        <v>4617.7799522293</v>
      </c>
      <c r="D115" s="35" t="n">
        <f aca="false">D114*Inputs!$B$58</f>
        <v>18195.5585080708</v>
      </c>
      <c r="E115" s="35" t="n">
        <f aca="false">E114*Inputs!$B$58</f>
        <v>34521.9941173693</v>
      </c>
      <c r="F115" s="35" t="n">
        <f aca="false">F114*Inputs!$B$58</f>
        <v>55394.7063672944</v>
      </c>
      <c r="G115" s="35" t="n">
        <f aca="false">G114*Inputs!$B$58</f>
        <v>76836.7647404779</v>
      </c>
    </row>
    <row r="116" customFormat="false" ht="15" hidden="false" customHeight="true" outlineLevel="0" collapsed="false">
      <c r="A116" s="13" t="s">
        <v>626</v>
      </c>
      <c r="C116" s="35" t="n">
        <f aca="false">Inputs!$B$60</f>
        <v>4200</v>
      </c>
      <c r="D116" s="35" t="n">
        <f aca="false">C118</f>
        <v>4200</v>
      </c>
      <c r="E116" s="35" t="n">
        <f aca="false">D118</f>
        <v>0</v>
      </c>
      <c r="F116" s="35" t="n">
        <f aca="false">E118</f>
        <v>0</v>
      </c>
      <c r="G116" s="35" t="n">
        <f aca="false">F118</f>
        <v>0</v>
      </c>
    </row>
    <row r="117" customFormat="false" ht="15" hidden="false" customHeight="true" outlineLevel="0" collapsed="false">
      <c r="A117" s="13" t="s">
        <v>627</v>
      </c>
      <c r="C117" s="35" t="n">
        <f aca="false">IF(AND(2026=2026,Inputs!$B$61=1),0,MIN(C116,MAX(0,C115)))</f>
        <v>0</v>
      </c>
      <c r="D117" s="35" t="n">
        <f aca="false">IF(AND(2027=2026,Inputs!$B$61=1),0,MIN(D116,MAX(0,D115)))</f>
        <v>4200</v>
      </c>
      <c r="E117" s="35" t="n">
        <f aca="false">IF(AND(2028=2026,Inputs!$B$61=1),0,MIN(E116,MAX(0,E115)))</f>
        <v>0</v>
      </c>
      <c r="F117" s="35" t="n">
        <f aca="false">IF(AND(2029=2026,Inputs!$B$61=1),0,MIN(F116,MAX(0,F115)))</f>
        <v>0</v>
      </c>
      <c r="G117" s="35" t="n">
        <f aca="false">IF(AND(2030=2026,Inputs!$B$61=1),0,MIN(G116,MAX(0,G115)))</f>
        <v>0</v>
      </c>
    </row>
    <row r="118" customFormat="false" ht="15" hidden="false" customHeight="true" outlineLevel="0" collapsed="false">
      <c r="A118" s="13" t="s">
        <v>628</v>
      </c>
      <c r="C118" s="35" t="n">
        <f aca="false">C116-C117+MAX(0,-C115)</f>
        <v>4200</v>
      </c>
      <c r="D118" s="35" t="n">
        <f aca="false">D116-D117+MAX(0,-D115)</f>
        <v>0</v>
      </c>
      <c r="E118" s="35" t="n">
        <f aca="false">E116-E117+MAX(0,-E115)</f>
        <v>0</v>
      </c>
      <c r="F118" s="35" t="n">
        <f aca="false">F116-F117+MAX(0,-F115)</f>
        <v>0</v>
      </c>
      <c r="G118" s="35" t="n">
        <f aca="false">G116-G117+MAX(0,-G115)</f>
        <v>0</v>
      </c>
    </row>
    <row r="119" customFormat="false" ht="15" hidden="false" customHeight="true" outlineLevel="0" collapsed="false">
      <c r="A119" s="13" t="s">
        <v>629</v>
      </c>
      <c r="C119" s="35" t="n">
        <f aca="false">MAX(0,C115-C117)*Inputs!$B$59</f>
        <v>277.066797133758</v>
      </c>
      <c r="D119" s="35" t="n">
        <f aca="false">MAX(0,D115-D117)*Inputs!$B$59</f>
        <v>839.73351048425</v>
      </c>
      <c r="E119" s="35" t="n">
        <f aca="false">MAX(0,E115-E117)*Inputs!$B$59</f>
        <v>2071.31964704216</v>
      </c>
      <c r="F119" s="35" t="n">
        <f aca="false">MAX(0,F115-F117)*Inputs!$B$59</f>
        <v>3323.68238203767</v>
      </c>
      <c r="G119" s="35" t="n">
        <f aca="false">MAX(0,G115-G117)*Inputs!$B$59</f>
        <v>4610.20588442868</v>
      </c>
    </row>
    <row r="120" customFormat="false" ht="15" hidden="false" customHeight="true" outlineLevel="0" collapsed="false">
      <c r="A120" s="13" t="s">
        <v>630</v>
      </c>
      <c r="C120" s="35" t="n">
        <f aca="false">C114-C119</f>
        <v>6136.51646985139</v>
      </c>
      <c r="D120" s="35" t="n">
        <f aca="false">D114-D119</f>
        <v>24431.875528503</v>
      </c>
      <c r="E120" s="35" t="n">
        <f aca="false">E114-E119</f>
        <v>45875.8944048597</v>
      </c>
      <c r="F120" s="35" t="n">
        <f aca="false">F114-F119</f>
        <v>73613.4097947602</v>
      </c>
      <c r="G120" s="35" t="n">
        <f aca="false">G114-G119</f>
        <v>102107.522921791</v>
      </c>
    </row>
    <row r="121" customFormat="false" ht="15" hidden="false" customHeight="true" outlineLevel="0" collapsed="false">
      <c r="A121" s="13" t="s">
        <v>631</v>
      </c>
      <c r="C121" s="35" t="n">
        <f aca="false">Inputs!$B$56</f>
        <v>8200</v>
      </c>
      <c r="D121" s="35" t="n">
        <f aca="false">C123</f>
        <v>3290.78682411889</v>
      </c>
      <c r="E121" s="35" t="n">
        <f aca="false">D123</f>
        <v>0</v>
      </c>
      <c r="F121" s="35" t="n">
        <f aca="false">E123</f>
        <v>0</v>
      </c>
      <c r="G121" s="35" t="n">
        <f aca="false">F123</f>
        <v>0</v>
      </c>
    </row>
    <row r="122" customFormat="false" ht="15" hidden="false" customHeight="true" outlineLevel="0" collapsed="false">
      <c r="A122" s="13" t="s">
        <v>632</v>
      </c>
      <c r="C122" s="35" t="n">
        <f aca="false">MIN(C121,Inputs!$B$57*MAX(0,C120))</f>
        <v>4909.21317588111</v>
      </c>
      <c r="D122" s="35" t="n">
        <f aca="false">MIN(D121,Inputs!$B$57*MAX(0,D120))</f>
        <v>3290.78682411889</v>
      </c>
      <c r="E122" s="35" t="n">
        <f aca="false">MIN(E121,Inputs!$B$57*MAX(0,E120))</f>
        <v>0</v>
      </c>
      <c r="F122" s="35" t="n">
        <f aca="false">MIN(F121,Inputs!$B$57*MAX(0,F120))</f>
        <v>0</v>
      </c>
      <c r="G122" s="35" t="n">
        <f aca="false">MIN(G121,Inputs!$B$57*MAX(0,G120))</f>
        <v>0</v>
      </c>
    </row>
    <row r="123" customFormat="false" ht="15" hidden="false" customHeight="true" outlineLevel="0" collapsed="false">
      <c r="A123" s="13" t="s">
        <v>633</v>
      </c>
      <c r="C123" s="35" t="n">
        <f aca="false">C121-C122+MAX(0,-C120)</f>
        <v>3290.78682411889</v>
      </c>
      <c r="D123" s="35" t="n">
        <f aca="false">D121-D122+MAX(0,-D120)</f>
        <v>0</v>
      </c>
      <c r="E123" s="35" t="n">
        <f aca="false">E121-E122+MAX(0,-E120)</f>
        <v>0</v>
      </c>
      <c r="F123" s="35" t="n">
        <f aca="false">F121-F122+MAX(0,-F120)</f>
        <v>0</v>
      </c>
      <c r="G123" s="35" t="n">
        <f aca="false">G121-G122+MAX(0,-G120)</f>
        <v>0</v>
      </c>
    </row>
    <row r="124" customFormat="false" ht="15" hidden="false" customHeight="true" outlineLevel="0" collapsed="false">
      <c r="A124" s="13" t="s">
        <v>634</v>
      </c>
      <c r="C124" s="35" t="n">
        <f aca="false">MAX(0,C120-C122)*Inputs!$B$55</f>
        <v>257.733691733758</v>
      </c>
      <c r="D124" s="35" t="n">
        <f aca="false">MAX(0,D120-D122)*Inputs!$B$55</f>
        <v>4439.62862792066</v>
      </c>
      <c r="E124" s="35" t="n">
        <f aca="false">MAX(0,E120-E122)*Inputs!$B$55</f>
        <v>9633.93782502053</v>
      </c>
      <c r="F124" s="35" t="n">
        <f aca="false">MAX(0,F120-F122)*Inputs!$B$55</f>
        <v>15458.8160568996</v>
      </c>
      <c r="G124" s="35" t="n">
        <f aca="false">MAX(0,G120-G122)*Inputs!$B$55</f>
        <v>21442.579813576</v>
      </c>
    </row>
    <row r="125" customFormat="false" ht="15" hidden="false" customHeight="true" outlineLevel="0" collapsed="false">
      <c r="A125" s="10" t="s">
        <v>635</v>
      </c>
      <c r="C125" s="36" t="n">
        <f aca="false">IF(Inputs!$U$105=0,MAX(0,C109+C111)*Inputs!B$66,IF(Inputs!$U$105=2,MAX(0,C114)*Inputs!$U$106,C119+C124))</f>
        <v>534.800488867516</v>
      </c>
      <c r="D125" s="36" t="n">
        <f aca="false">IF(Inputs!$U$105=0,MAX(0,D109+D111)*Inputs!C$66,IF(Inputs!$U$105=2,MAX(0,D114)*Inputs!$U$106,D119+D124))</f>
        <v>5279.36213840491</v>
      </c>
      <c r="E125" s="36" t="n">
        <f aca="false">IF(Inputs!$U$105=0,MAX(0,E109+E111)*Inputs!D$66,IF(Inputs!$U$105=2,MAX(0,E114)*Inputs!$U$106,E119+E124))</f>
        <v>11705.2574720627</v>
      </c>
      <c r="F125" s="36" t="n">
        <f aca="false">IF(Inputs!$U$105=0,MAX(0,F109+F111)*Inputs!E$66,IF(Inputs!$U$105=2,MAX(0,F114)*Inputs!$U$106,F119+F124))</f>
        <v>18782.4984389373</v>
      </c>
      <c r="G125" s="36" t="n">
        <f aca="false">IF(Inputs!$U$105=0,MAX(0,G109+G111)*Inputs!F$66,IF(Inputs!$U$105=2,MAX(0,G114)*Inputs!$U$106,G119+G124))</f>
        <v>26052.7856980047</v>
      </c>
    </row>
    <row r="126" customFormat="false" ht="15" hidden="false" customHeight="true" outlineLevel="0" collapsed="false">
      <c r="A126" s="13" t="s">
        <v>636</v>
      </c>
      <c r="C126" s="16" t="n">
        <f aca="false">IF(C114&gt;0,MIN(1,C125/C114),0)</f>
        <v>0.0833856</v>
      </c>
      <c r="D126" s="16" t="n">
        <f aca="false">IF(D114&gt;0,MIN(1,D125/D114),0)</f>
        <v>0.20890486752388</v>
      </c>
      <c r="E126" s="16" t="n">
        <f aca="false">IF(E114&gt;0,MIN(1,E125/E114),0)</f>
        <v>0.244128</v>
      </c>
      <c r="F126" s="16" t="n">
        <f aca="false">IF(F114&gt;0,MIN(1,F125/F114),0)</f>
        <v>0.244128</v>
      </c>
      <c r="G126" s="16" t="n">
        <f aca="false">IF(G114&gt;0,MIN(1,G125/G114),0)</f>
        <v>0.244128</v>
      </c>
    </row>
    <row r="127" customFormat="false" ht="15" hidden="false" customHeight="true" outlineLevel="0" collapsed="false">
      <c r="A127" s="13" t="s">
        <v>637</v>
      </c>
      <c r="C127" s="35" t="n">
        <f aca="false">C109+C111-C125</f>
        <v>5878.78277811763</v>
      </c>
      <c r="D127" s="35" t="n">
        <f aca="false">D109+D111-D125</f>
        <v>19992.2469005823</v>
      </c>
      <c r="E127" s="35" t="n">
        <f aca="false">E109+E111-E125</f>
        <v>36241.9565798391</v>
      </c>
      <c r="F127" s="35" t="n">
        <f aca="false">F109+F111-F125</f>
        <v>58154.5937378605</v>
      </c>
      <c r="G127" s="35" t="n">
        <f aca="false">G109+G111-G125</f>
        <v>80664.9431082146</v>
      </c>
    </row>
    <row r="128" customFormat="false" ht="15" hidden="false" customHeight="true" outlineLevel="0" collapsed="false">
      <c r="A128" s="13" t="s">
        <v>638</v>
      </c>
      <c r="C128" s="35" t="n">
        <f aca="false">C12+C20</f>
        <v>6666.19462137297</v>
      </c>
      <c r="D128" s="35" t="n">
        <f aca="false">D12+D20</f>
        <v>9763.56</v>
      </c>
      <c r="E128" s="35" t="n">
        <f aca="false">E12+E20</f>
        <v>13452.016</v>
      </c>
      <c r="F128" s="35" t="n">
        <f aca="false">F12+F20</f>
        <v>15890.1939</v>
      </c>
      <c r="G128" s="35" t="n">
        <f aca="false">G12+G20</f>
        <v>17025.20775</v>
      </c>
    </row>
    <row r="129" customFormat="false" ht="15" hidden="false" customHeight="true" outlineLevel="0" collapsed="false">
      <c r="A129" s="13" t="s">
        <v>639</v>
      </c>
      <c r="C129" s="35" t="n">
        <f aca="false">C73+C38</f>
        <v>0</v>
      </c>
      <c r="D129" s="35" t="n">
        <f aca="false">D73+D38</f>
        <v>-0</v>
      </c>
      <c r="E129" s="35" t="n">
        <f aca="false">E73+E38</f>
        <v>-0</v>
      </c>
      <c r="F129" s="35" t="n">
        <f aca="false">F73+F38</f>
        <v>-0</v>
      </c>
      <c r="G129" s="35" t="n">
        <f aca="false">G73+G38</f>
        <v>-0</v>
      </c>
    </row>
    <row r="130" customFormat="false" ht="15" hidden="false" customHeight="true" outlineLevel="0" collapsed="false">
      <c r="A130" s="13" t="s">
        <v>640</v>
      </c>
      <c r="C130" s="35" t="n">
        <f aca="false">-C$42+C$45</f>
        <v>0</v>
      </c>
      <c r="D130" s="35" t="n">
        <f aca="false">-D$42+D$45</f>
        <v>0</v>
      </c>
      <c r="E130" s="35" t="n">
        <f aca="false">-E$42+E$45</f>
        <v>0</v>
      </c>
      <c r="F130" s="35" t="n">
        <f aca="false">-F$42+F$45</f>
        <v>0</v>
      </c>
      <c r="G130" s="35" t="n">
        <f aca="false">-G$42+G$45</f>
        <v>0</v>
      </c>
    </row>
    <row r="131" customFormat="false" ht="15" hidden="false" customHeight="true" outlineLevel="0" collapsed="false">
      <c r="A131" s="10" t="s">
        <v>641</v>
      </c>
      <c r="C131" s="36" t="n">
        <f aca="false">C109+C128+C108+C111-C125-C107+C129+C130</f>
        <v>10917.7173994906</v>
      </c>
      <c r="D131" s="36" t="n">
        <f aca="false">D109+D128+D108+D111-D125-D107+D129+D130</f>
        <v>26221.8321165823</v>
      </c>
      <c r="E131" s="36" t="n">
        <f aca="false">E109+E128+E108+E111-E125-E107+E129+E130</f>
        <v>43548.7879158391</v>
      </c>
      <c r="F131" s="36" t="n">
        <f aca="false">F109+F128+F108+F111-F125-F107+F129+F130</f>
        <v>66788.1301518605</v>
      </c>
      <c r="G131" s="36" t="n">
        <f aca="false">G109+G128+G108+G111-G125-G107+G129+G130</f>
        <v>89922.7371397146</v>
      </c>
    </row>
    <row r="132" customFormat="false" ht="15" hidden="false" customHeight="true" outlineLevel="0" collapsed="false">
      <c r="A132" s="10" t="s">
        <v>642</v>
      </c>
      <c r="C132" s="36" t="n">
        <f aca="false">C109+C108-(C125-C111*C126)-C107+C129+C130</f>
        <v>1333.91049871763</v>
      </c>
      <c r="D132" s="36" t="n">
        <f aca="false">D109+D108-(D125-D111*D126)-D107+D129+D130</f>
        <v>13735.6249203714</v>
      </c>
      <c r="E132" s="36" t="n">
        <f aca="false">E109+E108-(E125-E111*E126)-E107+E129+E130</f>
        <v>26999.8405669438</v>
      </c>
      <c r="F132" s="36" t="n">
        <f aca="false">F109+F108-(F125-F111*F126)-F107+F129+F130</f>
        <v>46978.0721674772</v>
      </c>
      <c r="G132" s="36" t="n">
        <f aca="false">G109+G108-(G125-G111*G126)-G107+G129+G130</f>
        <v>67715.5833674776</v>
      </c>
    </row>
    <row r="133" customFormat="false" ht="15" hidden="false" customHeight="true" outlineLevel="0" collapsed="false">
      <c r="A133" s="13" t="s">
        <v>643</v>
      </c>
      <c r="C133" s="16" t="n">
        <f aca="false">IFERROR(C132/C105,0)</f>
        <v>0.0245918384041449</v>
      </c>
      <c r="D133" s="16" t="n">
        <f aca="false">IFERROR(D132/D105,0)</f>
        <v>0.124375533023578</v>
      </c>
      <c r="E133" s="16" t="n">
        <f aca="false">IFERROR(E132/E105,0)</f>
        <v>0.153655291558647</v>
      </c>
      <c r="F133" s="16" t="n">
        <f aca="false">IFERROR(F132/F105,0)</f>
        <v>0.189861774715357</v>
      </c>
      <c r="G133" s="16" t="n">
        <f aca="false">IFERROR(G132/G105,0)</f>
        <v>0.210257546836801</v>
      </c>
    </row>
    <row r="135" customFormat="false" ht="15" hidden="false" customHeight="true" outlineLevel="0" collapsed="false">
      <c r="A135" s="8" t="s">
        <v>644</v>
      </c>
      <c r="B135" s="9"/>
      <c r="C135" s="9" t="s">
        <v>645</v>
      </c>
      <c r="D135" s="9" t="s">
        <v>576</v>
      </c>
      <c r="E135" s="9" t="s">
        <v>577</v>
      </c>
      <c r="F135" s="9" t="s">
        <v>578</v>
      </c>
      <c r="G135" s="9" t="s">
        <v>579</v>
      </c>
    </row>
    <row r="136" customFormat="false" ht="15" hidden="false" customHeight="true" outlineLevel="0" collapsed="false">
      <c r="A136" s="13" t="s">
        <v>646</v>
      </c>
      <c r="C136" s="35" t="n">
        <f aca="false">Inputs!$B$41</f>
        <v>131845</v>
      </c>
      <c r="D136" s="35" t="n">
        <f aca="false">C141</f>
        <v>137664.717399491</v>
      </c>
      <c r="E136" s="35" t="n">
        <f aca="false">D141</f>
        <v>163886.549516073</v>
      </c>
      <c r="F136" s="35" t="n">
        <f aca="false">E141</f>
        <v>207435.337431912</v>
      </c>
      <c r="G136" s="35" t="n">
        <f aca="false">F141</f>
        <v>274223.467583773</v>
      </c>
    </row>
    <row r="137" customFormat="false" ht="15" hidden="false" customHeight="true" outlineLevel="0" collapsed="false">
      <c r="A137" s="13" t="s">
        <v>647</v>
      </c>
      <c r="C137" s="35" t="n">
        <f aca="false">C$42</f>
        <v>0</v>
      </c>
      <c r="D137" s="35" t="n">
        <f aca="false">D$42</f>
        <v>0</v>
      </c>
      <c r="E137" s="35" t="n">
        <f aca="false">E$42</f>
        <v>0</v>
      </c>
      <c r="F137" s="35" t="n">
        <f aca="false">F$42</f>
        <v>0</v>
      </c>
      <c r="G137" s="35" t="n">
        <f aca="false">G$42</f>
        <v>0</v>
      </c>
    </row>
    <row r="138" customFormat="false" ht="15" hidden="false" customHeight="true" outlineLevel="0" collapsed="false">
      <c r="A138" s="13" t="s">
        <v>648</v>
      </c>
      <c r="B138" s="6" t="s">
        <v>649</v>
      </c>
      <c r="C138" s="35" t="n">
        <f aca="false">C131-Historicals!$B$79-Historicals!$B$95</f>
        <v>5819.71739949059</v>
      </c>
      <c r="D138" s="35" t="n">
        <f aca="false">D131</f>
        <v>26221.8321165823</v>
      </c>
      <c r="E138" s="35" t="n">
        <f aca="false">E131</f>
        <v>43548.7879158391</v>
      </c>
      <c r="F138" s="35" t="n">
        <f aca="false">F131</f>
        <v>66788.1301518605</v>
      </c>
      <c r="G138" s="35" t="n">
        <f aca="false">G131</f>
        <v>89922.7371397146</v>
      </c>
    </row>
    <row r="139" customFormat="false" ht="15" hidden="false" customHeight="true" outlineLevel="0" collapsed="false">
      <c r="A139" s="13" t="s">
        <v>650</v>
      </c>
      <c r="C139" s="35" t="n">
        <f aca="false">-Inputs!$B$17</f>
        <v>-0</v>
      </c>
      <c r="D139" s="33" t="n">
        <v>0</v>
      </c>
      <c r="E139" s="33" t="n">
        <v>0</v>
      </c>
      <c r="F139" s="33" t="n">
        <v>0</v>
      </c>
      <c r="G139" s="33" t="n">
        <v>0</v>
      </c>
    </row>
    <row r="140" customFormat="false" ht="15" hidden="false" customHeight="true" outlineLevel="0" collapsed="false">
      <c r="A140" s="13" t="s">
        <v>651</v>
      </c>
      <c r="C140" s="35" t="n">
        <f aca="false">Inputs!$B$15</f>
        <v>0</v>
      </c>
      <c r="D140" s="33" t="n">
        <v>0</v>
      </c>
      <c r="E140" s="33" t="n">
        <v>0</v>
      </c>
      <c r="F140" s="33" t="n">
        <v>0</v>
      </c>
      <c r="G140" s="33" t="n">
        <v>0</v>
      </c>
    </row>
    <row r="141" customFormat="false" ht="15" hidden="false" customHeight="true" outlineLevel="0" collapsed="false">
      <c r="A141" s="10" t="s">
        <v>652</v>
      </c>
      <c r="C141" s="36" t="n">
        <f aca="false">C136+C138+C139+C140</f>
        <v>137664.717399491</v>
      </c>
      <c r="D141" s="36" t="n">
        <f aca="false">D136+D138+D139+D140</f>
        <v>163886.549516073</v>
      </c>
      <c r="E141" s="36" t="n">
        <f aca="false">E136+E138+E139+E140</f>
        <v>207435.337431912</v>
      </c>
      <c r="F141" s="36" t="n">
        <f aca="false">F136+F138+F139+F140</f>
        <v>274223.467583773</v>
      </c>
      <c r="G141" s="36" t="n">
        <f aca="false">G136+G138+G139+G140</f>
        <v>364146.204723487</v>
      </c>
    </row>
    <row r="142" customFormat="false" ht="15" hidden="false" customHeight="true" outlineLevel="0" collapsed="false">
      <c r="A142" s="13" t="s">
        <v>653</v>
      </c>
      <c r="C142" s="35" t="n">
        <f aca="false">MIN(C136-C137,C141)</f>
        <v>131845</v>
      </c>
      <c r="D142" s="35" t="n">
        <f aca="false">MIN(D136-D137,D141)</f>
        <v>137664.717399491</v>
      </c>
      <c r="E142" s="35" t="n">
        <f aca="false">MIN(E136-E137,E141)</f>
        <v>163886.549516073</v>
      </c>
      <c r="F142" s="35" t="n">
        <f aca="false">MIN(F136-F137,F141)</f>
        <v>207435.337431912</v>
      </c>
      <c r="G142" s="35" t="n">
        <f aca="false">MIN(G136-G137,G141)</f>
        <v>274223.467583773</v>
      </c>
    </row>
    <row r="143" customFormat="false" ht="15" hidden="false" customHeight="true" outlineLevel="0" collapsed="false">
      <c r="A143" s="13" t="s">
        <v>654</v>
      </c>
      <c r="C143" s="35" t="n">
        <f aca="false">C142-Inputs!$B$29</f>
        <v>126845</v>
      </c>
      <c r="D143" s="35" t="n">
        <f aca="false">D142-Inputs!$B$29</f>
        <v>132664.717399491</v>
      </c>
      <c r="E143" s="35" t="n">
        <f aca="false">E142-Inputs!$B$29</f>
        <v>158886.549516073</v>
      </c>
      <c r="F143" s="35" t="n">
        <f aca="false">F142-Inputs!$B$29</f>
        <v>202435.337431912</v>
      </c>
      <c r="G143" s="35" t="n">
        <f aca="false">G142-Inputs!$B$29</f>
        <v>269223.467583773</v>
      </c>
    </row>
    <row r="144" customFormat="false" ht="15" hidden="false" customHeight="true" outlineLevel="0" collapsed="false">
      <c r="A144" s="13" t="s">
        <v>655</v>
      </c>
      <c r="C144" s="56" t="str">
        <f aca="false">IF(C141&lt;Inputs!$B$38,"Below","OK")</f>
        <v>OK</v>
      </c>
      <c r="D144" s="56" t="str">
        <f aca="false">IF(D141&lt;Inputs!$B$38,"Below","OK")</f>
        <v>OK</v>
      </c>
      <c r="E144" s="56" t="str">
        <f aca="false">IF(E141&lt;Inputs!$B$38,"Below","OK")</f>
        <v>OK</v>
      </c>
      <c r="F144" s="56" t="str">
        <f aca="false">IF(F141&lt;Inputs!$B$38,"Below","OK")</f>
        <v>OK</v>
      </c>
      <c r="G144" s="56" t="str">
        <f aca="false">IF(G141&lt;Inputs!$B$38,"Below","OK")</f>
        <v>OK</v>
      </c>
    </row>
    <row r="145" customFormat="false" ht="15" hidden="false" customHeight="true" outlineLevel="0" collapsed="false">
      <c r="A145" s="13" t="s">
        <v>656</v>
      </c>
      <c r="C145" s="56" t="str">
        <f aca="false">IF(C143&lt;0,"Shortfall","OK")</f>
        <v>OK</v>
      </c>
      <c r="D145" s="56" t="str">
        <f aca="false">IF(D143&lt;0,"Shortfall","OK")</f>
        <v>OK</v>
      </c>
      <c r="E145" s="56" t="str">
        <f aca="false">IF(E143&lt;0,"Shortfall","OK")</f>
        <v>OK</v>
      </c>
      <c r="F145" s="56" t="str">
        <f aca="false">IF(F143&lt;0,"Shortfall","OK")</f>
        <v>OK</v>
      </c>
      <c r="G145" s="56" t="str">
        <f aca="false">IF(G143&lt;0,"Shortfall","OK")</f>
        <v>OK</v>
      </c>
    </row>
    <row r="146" customFormat="false" ht="15" hidden="false" customHeight="true" outlineLevel="0" collapsed="false">
      <c r="A146" s="10" t="s">
        <v>657</v>
      </c>
      <c r="G146" s="36" t="n">
        <f aca="false">MAX(0,-MIN(C143:G143))</f>
        <v>0</v>
      </c>
    </row>
    <row r="147" customFormat="false" ht="15" hidden="false" customHeight="true" outlineLevel="0" collapsed="false">
      <c r="A147" s="13" t="s">
        <v>658</v>
      </c>
      <c r="G147" s="35" t="n">
        <f aca="false">MAX(0,-MIN(C142:G142))</f>
        <v>0</v>
      </c>
    </row>
    <row r="148" customFormat="false" ht="15" hidden="false" customHeight="true" outlineLevel="0" collapsed="false">
      <c r="A148" s="8" t="s">
        <v>659</v>
      </c>
      <c r="B148" s="9"/>
      <c r="C148" s="9" t="s">
        <v>645</v>
      </c>
      <c r="D148" s="9" t="s">
        <v>576</v>
      </c>
      <c r="E148" s="9" t="s">
        <v>577</v>
      </c>
      <c r="F148" s="9" t="s">
        <v>578</v>
      </c>
      <c r="G148" s="9" t="s">
        <v>579</v>
      </c>
    </row>
    <row r="149" customFormat="false" ht="15" hidden="false" customHeight="true" outlineLevel="0" collapsed="false">
      <c r="A149" s="13" t="s">
        <v>660</v>
      </c>
      <c r="G149" s="51" t="str">
        <f aca="false">IF(G146=0,"none",IFERROR(2025+MATCH(1,INDEX(--(C143:G143&lt;0),0),0),"none"))</f>
        <v>none</v>
      </c>
    </row>
    <row r="150" customFormat="false" ht="15" hidden="false" customHeight="true" outlineLevel="0" collapsed="false">
      <c r="A150" s="13" t="s">
        <v>661</v>
      </c>
      <c r="G150" s="35" t="n">
        <f aca="false">G146</f>
        <v>0</v>
      </c>
    </row>
    <row r="151" customFormat="false" ht="15" hidden="false" customHeight="true" outlineLevel="0" collapsed="false">
      <c r="A151" s="13" t="s">
        <v>662</v>
      </c>
      <c r="G151" s="35" t="n">
        <f aca="false">G150/(1-Inputs!$B$31)*Inputs!$B$31</f>
        <v>0</v>
      </c>
    </row>
    <row r="152" customFormat="false" ht="15" hidden="false" customHeight="true" outlineLevel="0" collapsed="false">
      <c r="A152" s="13" t="s">
        <v>663</v>
      </c>
      <c r="G152" s="35" t="n">
        <f aca="false">G150+G151</f>
        <v>0</v>
      </c>
    </row>
    <row r="153" customFormat="false" ht="15" hidden="false" customHeight="true" outlineLevel="0" collapsed="false">
      <c r="A153" s="13" t="s">
        <v>664</v>
      </c>
      <c r="C153" s="35" t="n">
        <f aca="false">IF(AND(ISNUMBER($G$149),$G$149=2026),$G$150,0)</f>
        <v>0</v>
      </c>
      <c r="D153" s="35" t="n">
        <f aca="false">IF(AND(ISNUMBER($G$149),$G$149=2027),$G$150,0)</f>
        <v>0</v>
      </c>
      <c r="E153" s="35" t="n">
        <f aca="false">IF(AND(ISNUMBER($G$149),$G$149=2028),$G$150,0)</f>
        <v>0</v>
      </c>
      <c r="F153" s="35" t="n">
        <f aca="false">IF(AND(ISNUMBER($G$149),$G$149=2029),$G$150,0)</f>
        <v>0</v>
      </c>
      <c r="G153" s="35" t="n">
        <f aca="false">IF(AND(ISNUMBER($G$149),$G$149=2030),$G$150,0)</f>
        <v>0</v>
      </c>
    </row>
    <row r="154" customFormat="false" ht="15" hidden="false" customHeight="true" outlineLevel="0" collapsed="false">
      <c r="A154" s="13" t="s">
        <v>665</v>
      </c>
      <c r="C154" s="35" t="n">
        <f aca="false">C153*Inputs!$B$20/4</f>
        <v>0</v>
      </c>
      <c r="D154" s="35" t="n">
        <f aca="false">MAX(0,C156-D137+D153)*Inputs!$B$20-D111</f>
        <v>0</v>
      </c>
      <c r="E154" s="35" t="n">
        <f aca="false">MAX(0,D156-E137+E153)*Inputs!$B$20-E111</f>
        <v>0</v>
      </c>
      <c r="F154" s="35" t="n">
        <f aca="false">MAX(0,E156-F137+F153)*Inputs!$B$20-F111</f>
        <v>0</v>
      </c>
      <c r="G154" s="35" t="n">
        <f aca="false">MAX(0,F156-G137+G153)*Inputs!$B$20-G111</f>
        <v>0</v>
      </c>
    </row>
    <row r="155" customFormat="false" ht="15" hidden="false" customHeight="true" outlineLevel="0" collapsed="false">
      <c r="A155" s="13" t="s">
        <v>666</v>
      </c>
      <c r="C155" s="35" t="n">
        <f aca="false">C154*C126</f>
        <v>0</v>
      </c>
      <c r="D155" s="35" t="n">
        <f aca="false">D154*D126</f>
        <v>0</v>
      </c>
      <c r="E155" s="35" t="n">
        <f aca="false">E154*E126</f>
        <v>0</v>
      </c>
      <c r="F155" s="35" t="n">
        <f aca="false">F154*F126</f>
        <v>0</v>
      </c>
      <c r="G155" s="35" t="n">
        <f aca="false">G154*G126</f>
        <v>0</v>
      </c>
    </row>
    <row r="156" customFormat="false" ht="15" hidden="false" customHeight="true" outlineLevel="0" collapsed="false">
      <c r="A156" s="13" t="s">
        <v>667</v>
      </c>
      <c r="C156" s="35" t="n">
        <f aca="false">C141+SUM($C153:C153)+SUM($C154:C154)-SUM($C155:C155)</f>
        <v>137664.717399491</v>
      </c>
      <c r="D156" s="35" t="n">
        <f aca="false">D141+SUM($C153:D153)+SUM($C154:D154)-SUM($C155:D155)</f>
        <v>163886.549516073</v>
      </c>
      <c r="E156" s="35" t="n">
        <f aca="false">E141+SUM($C153:E153)+SUM($C154:E154)-SUM($C155:E155)</f>
        <v>207435.337431912</v>
      </c>
      <c r="F156" s="35" t="n">
        <f aca="false">F141+SUM($C153:F153)+SUM($C154:F154)-SUM($C155:F155)</f>
        <v>274223.467583773</v>
      </c>
      <c r="G156" s="35" t="n">
        <f aca="false">G141+SUM($C153:G153)+SUM($C154:G154)-SUM($C155:G155)</f>
        <v>364146.204723487</v>
      </c>
    </row>
    <row r="157" customFormat="false" ht="15" hidden="false" customHeight="true" outlineLevel="0" collapsed="false">
      <c r="A157" s="13" t="s">
        <v>668</v>
      </c>
      <c r="C157" s="35" t="n">
        <f aca="false">MIN(C136-C137+0+C153,C156)</f>
        <v>131845</v>
      </c>
      <c r="D157" s="35" t="n">
        <f aca="false">MIN(D136-D137+SUM($C153:C153)+SUM($C154:C154)-SUM($C155:C155)+D153,D156)</f>
        <v>137664.717399491</v>
      </c>
      <c r="E157" s="35" t="n">
        <f aca="false">MIN(E136-E137+SUM($C153:D153)+SUM($C154:D154)-SUM($C155:D155)+E153,E156)</f>
        <v>163886.549516073</v>
      </c>
      <c r="F157" s="35" t="n">
        <f aca="false">MIN(F136-F137+SUM($C153:E153)+SUM($C154:E154)-SUM($C155:E155)+F153,F156)</f>
        <v>207435.337431912</v>
      </c>
      <c r="G157" s="35" t="n">
        <f aca="false">MIN(G136-G137+SUM($C153:F153)+SUM($C154:F154)-SUM($C155:F155)+G153,G156)</f>
        <v>274223.467583773</v>
      </c>
    </row>
    <row r="158" customFormat="false" ht="15" hidden="false" customHeight="true" outlineLevel="0" collapsed="false">
      <c r="A158" s="13" t="s">
        <v>669</v>
      </c>
      <c r="C158" s="56" t="str">
        <f aca="false">IF(C157-Inputs!$B$29&lt;-0.5,"No","Yes")</f>
        <v>Yes</v>
      </c>
      <c r="D158" s="56" t="str">
        <f aca="false">IF(D157-Inputs!$B$29&lt;-0.5,"No","Yes")</f>
        <v>Yes</v>
      </c>
      <c r="E158" s="56" t="str">
        <f aca="false">IF(E157-Inputs!$B$29&lt;-0.5,"No","Yes")</f>
        <v>Yes</v>
      </c>
      <c r="F158" s="56" t="str">
        <f aca="false">IF(F157-Inputs!$B$29&lt;-0.5,"No","Yes")</f>
        <v>Yes</v>
      </c>
      <c r="G158" s="56" t="str">
        <f aca="false">IF(G157-Inputs!$B$29&lt;-0.5,"No","Yes")</f>
        <v>Yes</v>
      </c>
    </row>
    <row r="161" customFormat="false" ht="15" hidden="false" customHeight="true" outlineLevel="0" collapsed="false">
      <c r="A161" s="8" t="s">
        <v>671</v>
      </c>
      <c r="B161" s="9"/>
      <c r="C161" s="9"/>
      <c r="D161" s="9"/>
      <c r="E161" s="9"/>
      <c r="F161" s="9" t="s">
        <v>126</v>
      </c>
      <c r="G161" s="9" t="s">
        <v>125</v>
      </c>
    </row>
    <row r="162" customFormat="false" ht="15" hidden="false" customHeight="true" outlineLevel="0" collapsed="false">
      <c r="A162" s="13" t="s">
        <v>672</v>
      </c>
      <c r="F162" s="16" t="n">
        <f aca="false">Inputs!$B$19+Inputs!$U$104</f>
        <v>0.12</v>
      </c>
      <c r="G162" s="16" t="n">
        <f aca="false">Inputs!$B$19+Inputs!$U$104</f>
        <v>0.12</v>
      </c>
    </row>
    <row r="163" customFormat="false" ht="15" hidden="false" customHeight="true" outlineLevel="0" collapsed="false">
      <c r="A163" s="13" t="s">
        <v>673</v>
      </c>
      <c r="F163" s="35" t="n">
        <f aca="false">G53*(1-G70)</f>
        <v>64413.9863372159</v>
      </c>
      <c r="G163" s="35" t="n">
        <f aca="false">G109*(1-G126)</f>
        <v>75482.9970859776</v>
      </c>
    </row>
    <row r="164" customFormat="false" ht="15" hidden="false" customHeight="true" outlineLevel="0" collapsed="false">
      <c r="A164" s="13" t="s">
        <v>674</v>
      </c>
      <c r="F164" s="54" t="n">
        <f aca="false">Inputs!$U$102</f>
        <v>30</v>
      </c>
      <c r="G164" s="54" t="n">
        <f aca="false">Inputs!$U$102</f>
        <v>30</v>
      </c>
    </row>
    <row r="165" customFormat="false" ht="15" hidden="false" customHeight="true" outlineLevel="0" collapsed="false">
      <c r="A165" s="13" t="s">
        <v>675</v>
      </c>
      <c r="F165" s="35" t="n">
        <f aca="false">F163*F164</f>
        <v>1932419.59011648</v>
      </c>
      <c r="G165" s="35" t="n">
        <f aca="false">G163*G164</f>
        <v>2264489.91257933</v>
      </c>
    </row>
    <row r="166" customFormat="false" ht="15" hidden="false" customHeight="true" outlineLevel="0" collapsed="false">
      <c r="A166" s="13" t="s">
        <v>676</v>
      </c>
      <c r="F166" s="35" t="n">
        <f aca="false">F165*$G$21</f>
        <v>1228087.58458267</v>
      </c>
      <c r="G166" s="35" t="n">
        <f aca="false">G165*$G$21</f>
        <v>1439124.27780954</v>
      </c>
    </row>
    <row r="167" customFormat="false" ht="15" hidden="false" customHeight="true" outlineLevel="0" collapsed="false">
      <c r="A167" s="13" t="s">
        <v>677</v>
      </c>
      <c r="F167" s="35" t="n">
        <f aca="false">SUMPRODUCT(D76:G76,$D$21:$G$21)-F162*SUMPRODUCT(D81:G81,$D$21:$G$21)</f>
        <v>98286.8247673398</v>
      </c>
      <c r="G167" s="35" t="n">
        <f aca="false">SUMPRODUCT(D132:G132,$D$21:$G$21)-G162*SUMPRODUCT(D137:G137,$D$21:$G$21)</f>
        <v>110260.599685506</v>
      </c>
    </row>
    <row r="168" customFormat="false" ht="15" hidden="false" customHeight="true" outlineLevel="0" collapsed="false">
      <c r="A168" s="13" t="s">
        <v>678</v>
      </c>
      <c r="F168" s="35" t="n">
        <f aca="false">F166+F167</f>
        <v>1326374.40935001</v>
      </c>
      <c r="G168" s="35" t="n">
        <f aca="false">G166+G167</f>
        <v>1549384.87749504</v>
      </c>
    </row>
    <row r="169" customFormat="false" ht="15" hidden="false" customHeight="true" outlineLevel="0" collapsed="false">
      <c r="A169" s="13" t="s">
        <v>679</v>
      </c>
      <c r="F169" s="35" t="n">
        <f aca="false">(G76-G74)*Inputs!$U$103*$G$21</f>
        <v>1030003.84249613</v>
      </c>
      <c r="G169" s="35" t="n">
        <f aca="false">(G132-G130)*Inputs!$U$103*$G$21</f>
        <v>1204965.36775332</v>
      </c>
    </row>
    <row r="170" customFormat="false" ht="15" hidden="false" customHeight="true" outlineLevel="0" collapsed="false">
      <c r="A170" s="13" t="s">
        <v>680</v>
      </c>
      <c r="F170" s="35" t="n">
        <f aca="false">F167+F169</f>
        <v>1128290.66726346</v>
      </c>
      <c r="G170" s="35" t="n">
        <f aca="false">G167+G169</f>
        <v>1315225.96743883</v>
      </c>
    </row>
    <row r="171" customFormat="false" ht="15" hidden="false" customHeight="true" outlineLevel="0" collapsed="false">
      <c r="A171" s="13" t="s">
        <v>681</v>
      </c>
      <c r="F171" s="35" t="n">
        <f aca="false">F168*Inputs!$B$21+F170*(1-Inputs!$B$21)</f>
        <v>1227332.53830674</v>
      </c>
      <c r="G171" s="35" t="n">
        <f aca="false">G168*Inputs!$B$21+G170*(1-Inputs!$B$21)</f>
        <v>1432305.42246694</v>
      </c>
    </row>
    <row r="172" customFormat="false" ht="15" hidden="false" customHeight="true" outlineLevel="0" collapsed="false">
      <c r="A172" s="13" t="s">
        <v>682</v>
      </c>
      <c r="F172" s="16" t="n">
        <f aca="false">IFERROR(F166/F168,0)</f>
        <v>0.92589812946142</v>
      </c>
      <c r="G172" s="16" t="n">
        <f aca="false">IFERROR(G166/G168,0)</f>
        <v>0.928835887527333</v>
      </c>
    </row>
    <row r="173" customFormat="false" ht="15" hidden="false" customHeight="true" outlineLevel="0" collapsed="false">
      <c r="A173" s="13" t="s">
        <v>683</v>
      </c>
      <c r="F173" s="16" t="n">
        <f aca="false">IFERROR(F169/F170,0)</f>
        <v>0.912888737256222</v>
      </c>
      <c r="G173" s="16" t="n">
        <f aca="false">IFERROR(G169/G170,0)</f>
        <v>0.916166041109864</v>
      </c>
    </row>
    <row r="174" customFormat="false" ht="15" hidden="false" customHeight="true" outlineLevel="0" collapsed="false">
      <c r="A174" s="13" t="s">
        <v>684</v>
      </c>
      <c r="F174" s="35" t="n">
        <f aca="false">C85</f>
        <v>137664.717399491</v>
      </c>
      <c r="G174" s="35" t="n">
        <f aca="false">C141</f>
        <v>137664.717399491</v>
      </c>
    </row>
    <row r="175" customFormat="false" ht="15" hidden="false" customHeight="true" outlineLevel="0" collapsed="false">
      <c r="A175" s="13" t="s">
        <v>685</v>
      </c>
      <c r="F175" s="35" t="n">
        <f aca="false">G46*$G$21</f>
        <v>0</v>
      </c>
      <c r="G175" s="35" t="n">
        <f aca="false">G46*$G$21</f>
        <v>0</v>
      </c>
    </row>
    <row r="176" customFormat="false" ht="15" hidden="false" customHeight="true" outlineLevel="0" collapsed="false">
      <c r="A176" s="10" t="s">
        <v>686</v>
      </c>
      <c r="F176" s="34" t="n">
        <f aca="false">F171+F174+F175</f>
        <v>1364997.25570623</v>
      </c>
      <c r="G176" s="34" t="n">
        <f aca="false">G171+G174+G175</f>
        <v>1569970.13986643</v>
      </c>
    </row>
    <row r="177" customFormat="false" ht="15" hidden="false" customHeight="true" outlineLevel="0" collapsed="false">
      <c r="A177" s="13" t="s">
        <v>687</v>
      </c>
      <c r="F177" s="35" t="n">
        <f aca="false">IF(F182="OK",F176,"unresolved")</f>
        <v>1364997.25570623</v>
      </c>
      <c r="G177" s="35" t="n">
        <f aca="false">IF(G182="OK",G176,"unresolved")</f>
        <v>1569970.13986643</v>
      </c>
    </row>
    <row r="178" customFormat="false" ht="15" hidden="false" customHeight="true" outlineLevel="0" collapsed="false">
      <c r="A178" s="13" t="s">
        <v>202</v>
      </c>
      <c r="F178" s="57" t="n">
        <f aca="false">Inputs!$B$18</f>
        <v>17937.06016</v>
      </c>
      <c r="G178" s="57" t="n">
        <f aca="false">Inputs!$B$18</f>
        <v>17937.06016</v>
      </c>
    </row>
    <row r="179" customFormat="false" ht="15" hidden="false" customHeight="true" outlineLevel="0" collapsed="false">
      <c r="A179" s="13" t="s">
        <v>688</v>
      </c>
      <c r="F179" s="25" t="n">
        <f aca="false">IF(F182="OK",F176/F178,"n/a")</f>
        <v>76.0992739908517</v>
      </c>
      <c r="G179" s="25" t="n">
        <f aca="false">IF(G182="OK",G176/G178,"n/a")</f>
        <v>87.526613941313</v>
      </c>
    </row>
    <row r="180" customFormat="false" ht="15" hidden="false" customHeight="true" outlineLevel="0" collapsed="false">
      <c r="A180" s="13" t="s">
        <v>689</v>
      </c>
      <c r="F180" s="35" t="n">
        <f aca="false">G90</f>
        <v>0</v>
      </c>
      <c r="G180" s="35" t="n">
        <f aca="false">G146</f>
        <v>0</v>
      </c>
    </row>
    <row r="181" customFormat="false" ht="15" hidden="false" customHeight="true" outlineLevel="0" collapsed="false">
      <c r="A181" s="13" t="s">
        <v>690</v>
      </c>
      <c r="F181" s="58" t="str">
        <f aca="false">IF(G75&lt;0,MAX(0,G85)/-G75,"cash-positive")</f>
        <v>cash-positive</v>
      </c>
      <c r="G181" s="58" t="str">
        <f aca="false">IF(G131&lt;0,MAX(0,G141)/-G131,"cash-positive")</f>
        <v>cash-positive</v>
      </c>
    </row>
    <row r="182" customFormat="false" ht="15" hidden="false" customHeight="true" outlineLevel="0" collapsed="false">
      <c r="A182" s="13" t="s">
        <v>691</v>
      </c>
      <c r="F182" s="56" t="str">
        <f aca="false">IF(OR(F163&lt;=0,G76-G74&lt;=0),"Not meaningful: 2030 earnings or cash flow negative",IF(F176&lt;=0,"Not meaningful: equity value at or below zero","OK"))</f>
        <v>OK</v>
      </c>
      <c r="G182" s="56" t="str">
        <f aca="false">IF(OR(G163&lt;=0,G132-G130&lt;=0),"Not meaningful: 2030 earnings or cash flow negative",IF(G176&lt;=0,"Not meaningful: equity value at or below zero","OK"))</f>
        <v>OK</v>
      </c>
    </row>
    <row r="183" customFormat="false" ht="15" hidden="false" customHeight="true" outlineLevel="0" collapsed="false">
      <c r="A183" s="10" t="s">
        <v>692</v>
      </c>
      <c r="F183" s="29" t="str">
        <f aca="false">IF(F182&lt;&gt;"OK",F182,IF(F180&gt;0,"Raise needed by 2030",IF(ISNUMBER(F181),"Cash-negative in 2030; runway "&amp;TEXT(F181,"0.0")&amp;" yrs","No raise needed")))</f>
        <v>No raise needed</v>
      </c>
      <c r="G183" s="29" t="str">
        <f aca="false">IF(G182&lt;&gt;"OK",G182,IF(G180&gt;0,"Raise needed by 2030",IF(ISNUMBER(G181),"Cash-negative in 2030; runway "&amp;TEXT(G181,"0.0")&amp;" yrs","No raise needed")))</f>
        <v>No raise needed</v>
      </c>
    </row>
    <row r="184" customFormat="false" ht="15" hidden="false" customHeight="true" outlineLevel="0" collapsed="false">
      <c r="A184" s="13" t="s">
        <v>693</v>
      </c>
      <c r="F184" s="25" t="n">
        <f aca="false">IF(NOT(ISNUMBER(F179)),"unresolved",IF(F180=0,F179,(F176+F180/(1+F162)^IF(ISNUMBER(G93),MAX(0,G93-2027),0))/(F178+(F180/(1-Inputs!$B$31))/(F179*(1+F162)^IF(ISNUMBER(G93),MAX(0,G93-2027),0)*(1-0)))))</f>
        <v>76.0992739908517</v>
      </c>
      <c r="G184" s="25" t="n">
        <f aca="false">IF(NOT(ISNUMBER(G179)),"unresolved",IF(G180=0,G179,(G176+G180/(1+G162)^IF(ISNUMBER(G149),MAX(0,G149-2027),0))/(G178+(G180/(1-Inputs!$B$31))/(G179*(1+G162)^IF(ISNUMBER(G149),MAX(0,G149-2027),0)*(1-0)))))</f>
        <v>87.526613941313</v>
      </c>
    </row>
    <row r="185" customFormat="false" ht="15" hidden="false" customHeight="true" outlineLevel="0" collapsed="false">
      <c r="A185" s="13" t="s">
        <v>694</v>
      </c>
      <c r="F185" s="25" t="n">
        <f aca="false">IF(NOT(ISNUMBER(F179)),"unresolved",IF(F180=0,F179,(F176+F180/(1+F162)^IF(ISNUMBER(G93),MAX(0,G93-2027),0))/(F178+(F180/(1-Inputs!$B$31))/(F179*(1+F162)^IF(ISNUMBER(G93),MAX(0,G93-2027),0)*(1-Inputs!$B$30)))))</f>
        <v>76.0992739908517</v>
      </c>
      <c r="G185" s="25" t="n">
        <f aca="false">IF(NOT(ISNUMBER(G179)),"unresolved",IF(G180=0,G179,(G176+G180/(1+G162)^IF(ISNUMBER(G149),MAX(0,G149-2027),0))/(G178+(G180/(1-Inputs!$B$31))/(G179*(1+G162)^IF(ISNUMBER(G149),MAX(0,G149-2027),0)*(1-Inputs!$B$30)))))</f>
        <v>87.526613941313</v>
      </c>
    </row>
    <row r="186" customFormat="false" ht="15" hidden="false" customHeight="true" outlineLevel="0" collapsed="false">
      <c r="A186" s="13" t="s">
        <v>695</v>
      </c>
      <c r="F186" s="25" t="n">
        <f aca="false">IF(NOT(ISNUMBER(F179)),"unresolved",IF(F180=0,F179,(F176+F180/(1+F162)^IF(ISNUMBER(G93),MAX(0,G93-2027),0))/(F178+(F180/(1-Inputs!$B$31))/(F179*(1+F162)^IF(ISNUMBER(G93),MAX(0,G93-2027),0)*(1-0.3)))))</f>
        <v>76.0992739908517</v>
      </c>
      <c r="G186" s="25" t="n">
        <f aca="false">IF(NOT(ISNUMBER(G179)),"unresolved",IF(G180=0,G179,(G176+G180/(1+G162)^IF(ISNUMBER(G149),MAX(0,G149-2027),0))/(G178+(G180/(1-Inputs!$B$31))/(G179*(1+G162)^IF(ISNUMBER(G149),MAX(0,G149-2027),0)*(1-0.3)))))</f>
        <v>87.526613941313</v>
      </c>
    </row>
    <row r="187" customFormat="false" ht="15" hidden="false" customHeight="true" outlineLevel="0" collapsed="false">
      <c r="A187" s="13" t="s">
        <v>696</v>
      </c>
      <c r="F187" s="25" t="n">
        <f aca="false">F185</f>
        <v>76.0992739908517</v>
      </c>
      <c r="G187" s="25" t="n">
        <f aca="false">G185</f>
        <v>87.526613941313</v>
      </c>
    </row>
    <row r="188" customFormat="false" ht="15" hidden="false" customHeight="true" outlineLevel="0" collapsed="false">
      <c r="A188" s="13" t="s">
        <v>697</v>
      </c>
      <c r="F188" s="51" t="n">
        <f aca="false">IF(AND(ISNUMBER(F187),Inputs!$B$24=1),IF(F187&gt;Inputs!$B$23,INT(LN(F187/Inputs!$B$23)/LN(1+Inputs!$B$26)),0),0)</f>
        <v>0</v>
      </c>
      <c r="G188" s="51" t="n">
        <f aca="false">IF(AND(ISNUMBER(G187),Inputs!$B$24=1),IF(G187&gt;Inputs!$B$23,INT(LN(G187/Inputs!$B$23)/LN(1+Inputs!$B$26)),0),0)</f>
        <v>0</v>
      </c>
    </row>
    <row r="189" customFormat="false" ht="15" hidden="false" customHeight="true" outlineLevel="0" collapsed="false">
      <c r="A189" s="10" t="s">
        <v>698</v>
      </c>
      <c r="F189" s="12" t="n">
        <f aca="false">IF(ISNUMBER(F187),F187/(1+Inputs!$B$25)^F188,"unresolved")</f>
        <v>76.0992739908517</v>
      </c>
      <c r="G189" s="12" t="n">
        <f aca="false">IF(ISNUMBER(G187),G187/(1+Inputs!$B$25)^G188,"unresolved")</f>
        <v>87.526613941313</v>
      </c>
    </row>
    <row r="190" customFormat="false" ht="15" hidden="false" customHeight="true" outlineLevel="0" collapsed="false">
      <c r="A190" s="13" t="s">
        <v>699</v>
      </c>
      <c r="F190" s="25" t="n">
        <f aca="false">IF(F180=0,F189,"unresolved")</f>
        <v>76.0992739908517</v>
      </c>
      <c r="G190" s="25" t="n">
        <f aca="false">IF(G180=0,G189,"unresolved")</f>
        <v>87.526613941313</v>
      </c>
    </row>
    <row r="191" customFormat="false" ht="15" hidden="false" customHeight="true" outlineLevel="0" collapsed="false">
      <c r="A191" s="13" t="s">
        <v>700</v>
      </c>
      <c r="F191" s="35" t="n">
        <f aca="false">IF(ISNUMBER(F179),F176+F180/(1+F162)^IF(ISNUMBER(G93),MAX(0,G93-2027),0),"unresolved")</f>
        <v>1364997.25570623</v>
      </c>
      <c r="G191" s="35" t="n">
        <f aca="false">IF(ISNUMBER(G179),G176+G180/(1+G162)^IF(ISNUMBER(G149),MAX(0,G149-2027),0),"unresolved")</f>
        <v>1569970.13986643</v>
      </c>
    </row>
    <row r="192" customFormat="false" ht="15" hidden="false" customHeight="true" outlineLevel="0" collapsed="false">
      <c r="A192" s="13" t="s">
        <v>701</v>
      </c>
      <c r="F192" s="28" t="n">
        <f aca="false">IFERROR(F191/D49,"n/a")</f>
        <v>12.5824753484959</v>
      </c>
      <c r="G192" s="28" t="n">
        <f aca="false">IFERROR(G191/D105,"n/a")</f>
        <v>14.2160166799101</v>
      </c>
    </row>
    <row r="193" customFormat="false" ht="15" hidden="false" customHeight="true" outlineLevel="0" collapsed="false">
      <c r="A193" s="13" t="s">
        <v>702</v>
      </c>
      <c r="F193" s="25" t="n">
        <f aca="false">(F168+F174)/F178</f>
        <v>81.6209074224069</v>
      </c>
      <c r="G193" s="25" t="n">
        <f aca="false">(G168+G174)/G178</f>
        <v>94.0538516259587</v>
      </c>
    </row>
    <row r="194" customFormat="false" ht="15" hidden="false" customHeight="true" outlineLevel="0" collapsed="false">
      <c r="A194" s="13" t="s">
        <v>703</v>
      </c>
      <c r="F194" s="25" t="n">
        <f aca="false">(F170+F174)/F178</f>
        <v>70.5776405592964</v>
      </c>
      <c r="G194" s="25" t="n">
        <f aca="false">(G170+G174)/G178</f>
        <v>80.9993762566674</v>
      </c>
    </row>
    <row r="196" customFormat="false" ht="15" hidden="false" customHeight="true" outlineLevel="0" collapsed="false">
      <c r="A196" s="6" t="s">
        <v>704</v>
      </c>
    </row>
    <row r="197" customFormat="false" ht="15" hidden="false" customHeight="true" outlineLevel="0" collapsed="false">
      <c r="A197" s="6" t="s">
        <v>705</v>
      </c>
    </row>
    <row r="198" customFormat="false" ht="15" hidden="false" customHeight="true" outlineLevel="0" collapsed="false">
      <c r="A198" s="6" t="s">
        <v>706</v>
      </c>
    </row>
    <row r="199" customFormat="false" ht="15" hidden="false" customHeight="true" outlineLevel="0" collapsed="false">
      <c r="A199" s="6" t="s">
        <v>707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4" width="62"/>
    <col collapsed="false" customWidth="true" hidden="false" outlineLevel="0" max="14" min="2" style="4" width="15"/>
  </cols>
  <sheetData>
    <row r="1" customFormat="false" ht="17.25" hidden="false" customHeight="true" outlineLevel="0" collapsed="false">
      <c r="A1" s="5" t="s">
        <v>725</v>
      </c>
    </row>
    <row r="2" customFormat="false" ht="15" hidden="false" customHeight="true" outlineLevel="0" collapsed="false">
      <c r="A2" s="6" t="s">
        <v>726</v>
      </c>
    </row>
    <row r="4" customFormat="false" ht="15" hidden="false" customHeight="true" outlineLevel="0" collapsed="false">
      <c r="A4" s="8" t="s">
        <v>727</v>
      </c>
      <c r="B4" s="9" t="s">
        <v>61</v>
      </c>
      <c r="C4" s="9" t="s">
        <v>440</v>
      </c>
      <c r="D4" s="9" t="s">
        <v>441</v>
      </c>
      <c r="E4" s="9" t="s">
        <v>442</v>
      </c>
      <c r="F4" s="9" t="s">
        <v>728</v>
      </c>
      <c r="G4" s="9" t="s">
        <v>444</v>
      </c>
      <c r="H4" s="9" t="s">
        <v>445</v>
      </c>
      <c r="I4" s="9" t="s">
        <v>449</v>
      </c>
      <c r="J4" s="9" t="s">
        <v>450</v>
      </c>
      <c r="K4" s="9" t="s">
        <v>729</v>
      </c>
      <c r="L4" s="9" t="s">
        <v>730</v>
      </c>
      <c r="M4" s="9" t="s">
        <v>453</v>
      </c>
      <c r="N4" s="9" t="s">
        <v>731</v>
      </c>
    </row>
    <row r="5" customFormat="false" ht="15" hidden="false" customHeight="true" outlineLevel="0" collapsed="false">
      <c r="A5" s="13" t="s">
        <v>732</v>
      </c>
      <c r="B5" s="14" t="n">
        <f aca="false">SUM(Base!D10:G10)/1000</f>
        <v>316.9106442</v>
      </c>
      <c r="C5" s="14" t="n">
        <f aca="false">SUM(S1!D10:G10)/1000</f>
        <v>316.9106442</v>
      </c>
      <c r="D5" s="14" t="n">
        <f aca="false">SUM(S2!D10:G10)/1000</f>
        <v>380.29277304</v>
      </c>
      <c r="E5" s="14" t="n">
        <f aca="false">SUM(S3!D10:G10)/1000</f>
        <v>316.9106442</v>
      </c>
      <c r="F5" s="14" t="n">
        <f aca="false">SUM(S4!D10:G10)/1000</f>
        <v>316.9106442</v>
      </c>
      <c r="G5" s="14" t="n">
        <f aca="false">SUM(S5!D10:G10)/1000</f>
        <v>316.9106442</v>
      </c>
      <c r="H5" s="14" t="n">
        <f aca="false">SUM(S6!D10:G10)/1000</f>
        <v>380.29277304</v>
      </c>
      <c r="I5" s="14" t="n">
        <f aca="false">SUM(S7!D10:G10)/1000</f>
        <v>316.9106442</v>
      </c>
      <c r="J5" s="14" t="n">
        <f aca="false">SUM(S8!D10:G10)/1000</f>
        <v>436.269</v>
      </c>
      <c r="K5" s="14" t="n">
        <f aca="false">SUM(S8E!D10:G10)/1000</f>
        <v>449.4773132</v>
      </c>
      <c r="L5" s="14" t="n">
        <f aca="false">SUM(S8L!D10:G10)/1000</f>
        <v>436.269</v>
      </c>
      <c r="M5" s="14" t="n">
        <f aca="false">SUM(S9!D10:G10)/1000</f>
        <v>355.181934374224</v>
      </c>
      <c r="N5" s="14" t="n">
        <f aca="false">SUM(S10!D10:G10)/1000</f>
        <v>291.87001548</v>
      </c>
    </row>
    <row r="6" customFormat="false" ht="15" hidden="false" customHeight="true" outlineLevel="0" collapsed="false">
      <c r="A6" s="13" t="s">
        <v>156</v>
      </c>
      <c r="B6" s="19" t="n">
        <f aca="false">Base!G172</f>
        <v>0.93172496270552</v>
      </c>
      <c r="C6" s="19" t="n">
        <f aca="false">S1!G172</f>
        <v>0.912869728678239</v>
      </c>
      <c r="D6" s="19" t="n">
        <f aca="false">S2!G172</f>
        <v>0.942427395950265</v>
      </c>
      <c r="E6" s="19" t="n">
        <f aca="false">S3!G172</f>
        <v>0.909507264552367</v>
      </c>
      <c r="F6" s="19" t="n">
        <f aca="false">S4!G172</f>
        <v>0.91099228528785</v>
      </c>
      <c r="G6" s="19" t="n">
        <f aca="false">S5!G172</f>
        <v>0.930596140910387</v>
      </c>
      <c r="H6" s="19" t="n">
        <f aca="false">S6!G172</f>
        <v>0.871786562954742</v>
      </c>
      <c r="I6" s="19" t="n">
        <f aca="false">S7!G172</f>
        <v>0.970858657877756</v>
      </c>
      <c r="J6" s="19" t="n">
        <f aca="false">S8!G172</f>
        <v>0.983506569114048</v>
      </c>
      <c r="K6" s="19" t="n">
        <f aca="false">S8E!G172</f>
        <v>0.99399737309037</v>
      </c>
      <c r="L6" s="19" t="n">
        <f aca="false">S8L!G172</f>
        <v>0.964712654645981</v>
      </c>
      <c r="M6" s="19" t="n">
        <f aca="false">S9!G172</f>
        <v>0.949183208089223</v>
      </c>
      <c r="N6" s="19" t="n">
        <f aca="false">S10!G172</f>
        <v>0.928835887527333</v>
      </c>
    </row>
    <row r="7" customFormat="false" ht="15" hidden="false" customHeight="true" outlineLevel="0" collapsed="false">
      <c r="A7" s="13" t="s">
        <v>733</v>
      </c>
      <c r="B7" s="14" t="n">
        <f aca="false">IFERROR(Base!G105/1000,"unresolved")</f>
        <v>322.0601799375</v>
      </c>
      <c r="C7" s="14" t="n">
        <f aca="false">IFERROR(S1!G105/1000,"unresolved")</f>
        <v>61.56467</v>
      </c>
      <c r="D7" s="14" t="n">
        <f aca="false">IFERROR(S2!G105/1000,"unresolved")</f>
        <v>322.0601799375</v>
      </c>
      <c r="E7" s="14" t="n">
        <f aca="false">IFERROR(S3!G105/1000,"unresolved")</f>
        <v>155.640776473828</v>
      </c>
      <c r="F7" s="14" t="n">
        <f aca="false">IFERROR(S4!G105/1000,"unresolved")</f>
        <v>322.0601799375</v>
      </c>
      <c r="G7" s="14" t="n">
        <f aca="false">IFERROR(S5!G105/1000,"unresolved")</f>
        <v>322.0601799375</v>
      </c>
      <c r="H7" s="14" t="n">
        <f aca="false">IFERROR(S6!G105/1000,"unresolved")</f>
        <v>155.640776473828</v>
      </c>
      <c r="I7" s="14" t="n">
        <f aca="false">IFERROR(S7!G105/1000,"unresolved")</f>
        <v>322.0601799375</v>
      </c>
      <c r="J7" s="14" t="n">
        <f aca="false">IFERROR(S8!G105/1000,"unresolved")</f>
        <v>322.0601799375</v>
      </c>
      <c r="K7" s="14" t="n">
        <f aca="false">IFERROR(S8E!G105/1000,"unresolved")</f>
        <v>322.0601799375</v>
      </c>
      <c r="L7" s="14" t="n">
        <f aca="false">IFERROR(S8L!G105/1000,"unresolved")</f>
        <v>322.0601799375</v>
      </c>
      <c r="M7" s="14" t="n">
        <f aca="false">IFERROR(S9!G105/1000,"unresolved")</f>
        <v>322.0601799375</v>
      </c>
      <c r="N7" s="14" t="n">
        <f aca="false">IFERROR(S10!G105/1000,"unresolved")</f>
        <v>322.0601799375</v>
      </c>
    </row>
    <row r="8" customFormat="false" ht="15" hidden="false" customHeight="true" outlineLevel="0" collapsed="false">
      <c r="A8" s="13" t="s">
        <v>154</v>
      </c>
      <c r="B8" s="19" t="n">
        <f aca="false">Base!G19</f>
        <v>0.382949734754338</v>
      </c>
      <c r="C8" s="19" t="n">
        <f aca="false">S1!G19</f>
        <v>2.00330579993363</v>
      </c>
      <c r="D8" s="19" t="n">
        <f aca="false">S2!G19</f>
        <v>0.459539681705206</v>
      </c>
      <c r="E8" s="19" t="n">
        <f aca="false">S3!G19</f>
        <v>0.792419976796628</v>
      </c>
      <c r="F8" s="19" t="n">
        <f aca="false">S4!G19</f>
        <v>0.382949734754338</v>
      </c>
      <c r="G8" s="19" t="n">
        <f aca="false">S5!G19</f>
        <v>0.382949734754338</v>
      </c>
      <c r="H8" s="19" t="n">
        <f aca="false">S6!G19</f>
        <v>0.950903972155953</v>
      </c>
      <c r="I8" s="19" t="n">
        <f aca="false">S7!G19</f>
        <v>0.382949734754338</v>
      </c>
      <c r="J8" s="19" t="n">
        <f aca="false">S8!G19</f>
        <v>0.402988474545927</v>
      </c>
      <c r="K8" s="19" t="n">
        <f aca="false">S8E!G19</f>
        <v>0.382949734754338</v>
      </c>
      <c r="L8" s="19" t="n">
        <f aca="false">S8L!G19</f>
        <v>0.513967296522417</v>
      </c>
      <c r="M8" s="19" t="n">
        <f aca="false">S9!G19</f>
        <v>0.382949734754338</v>
      </c>
      <c r="N8" s="19" t="n">
        <f aca="false">S10!G19</f>
        <v>0.352691041012407</v>
      </c>
    </row>
    <row r="9" customFormat="false" ht="15" hidden="false" customHeight="true" outlineLevel="0" collapsed="false">
      <c r="A9" s="13" t="s">
        <v>734</v>
      </c>
      <c r="B9" s="19" t="n">
        <f aca="false">Base!G110</f>
        <v>0.283413283238985</v>
      </c>
      <c r="C9" s="19" t="n">
        <f aca="false">S1!G110</f>
        <v>-1.15431700434681</v>
      </c>
      <c r="D9" s="19" t="n">
        <f aca="false">S2!G110</f>
        <v>0.215933153766854</v>
      </c>
      <c r="E9" s="19" t="n">
        <f aca="false">S3!G110</f>
        <v>-0.0812303235723414</v>
      </c>
      <c r="F9" s="19" t="n">
        <f aca="false">S4!G110</f>
        <v>0.283413283238985</v>
      </c>
      <c r="G9" s="19" t="n">
        <f aca="false">S5!G110</f>
        <v>0.283413283238985</v>
      </c>
      <c r="H9" s="19" t="n">
        <f aca="false">S6!G110</f>
        <v>-0.220863799659853</v>
      </c>
      <c r="I9" s="19" t="n">
        <f aca="false">S7!G110</f>
        <v>0.283413283238985</v>
      </c>
      <c r="J9" s="19" t="n">
        <f aca="false">S8!G110</f>
        <v>0.265758005889567</v>
      </c>
      <c r="K9" s="19" t="n">
        <f aca="false">S8E!G110</f>
        <v>0.283413283238985</v>
      </c>
      <c r="L9" s="19" t="n">
        <f aca="false">S8L!G110</f>
        <v>0.167979308112924</v>
      </c>
      <c r="M9" s="19" t="n">
        <f aca="false">S9!G110</f>
        <v>0.283413283238985</v>
      </c>
      <c r="N9" s="19" t="n">
        <f aca="false">S10!G110</f>
        <v>0.31007292530236</v>
      </c>
    </row>
    <row r="10" customFormat="false" ht="15" hidden="false" customHeight="true" outlineLevel="0" collapsed="false">
      <c r="A10" s="13" t="s">
        <v>735</v>
      </c>
      <c r="B10" s="14" t="n">
        <f aca="false">MIN(Base!C141:G141)/1000</f>
        <v>137.664717399491</v>
      </c>
      <c r="C10" s="14" t="n">
        <f aca="false">MIN(S1!C141:G141)/1000</f>
        <v>-16.3240984524546</v>
      </c>
      <c r="D10" s="14" t="n">
        <f aca="false">MIN(S2!C141:G141)/1000</f>
        <v>137.664717399491</v>
      </c>
      <c r="E10" s="14" t="n">
        <f aca="false">MIN(S3!C141:G141)/1000</f>
        <v>137.664717399491</v>
      </c>
      <c r="F10" s="14" t="n">
        <f aca="false">MIN(S4!C141:G141)/1000</f>
        <v>137.664717399491</v>
      </c>
      <c r="G10" s="14" t="n">
        <f aca="false">MIN(S5!C141:G141)/1000</f>
        <v>137.664717399491</v>
      </c>
      <c r="H10" s="14" t="n">
        <f aca="false">MIN(S6!C141:G141)/1000</f>
        <v>84.6602076078217</v>
      </c>
      <c r="I10" s="14" t="n">
        <f aca="false">MIN(S7!C141:G141)/1000</f>
        <v>-41.5839818184017</v>
      </c>
      <c r="J10" s="14" t="n">
        <f aca="false">MIN(S8!C141:G141)/1000</f>
        <v>114.185449151918</v>
      </c>
      <c r="K10" s="14" t="n">
        <f aca="false">MIN(S8E!C141:G141)/1000</f>
        <v>88.9929491519178</v>
      </c>
      <c r="L10" s="14" t="n">
        <f aca="false">MIN(S8L!C141:G141)/1000</f>
        <v>136.032227153091</v>
      </c>
      <c r="M10" s="14" t="n">
        <f aca="false">MIN(S9!C141:G141)/1000</f>
        <v>137.664717399491</v>
      </c>
      <c r="N10" s="14" t="n">
        <f aca="false">MIN(S10!C141:G141)/1000</f>
        <v>137.664717399491</v>
      </c>
    </row>
    <row r="11" customFormat="false" ht="15" hidden="false" customHeight="true" outlineLevel="0" collapsed="false">
      <c r="A11" s="13" t="s">
        <v>736</v>
      </c>
      <c r="B11" s="14" t="n">
        <f aca="false">IFERROR(Base!G146/1000,"unresolved")</f>
        <v>0</v>
      </c>
      <c r="C11" s="14" t="n">
        <f aca="false">IFERROR(S1!G146/1000,"unresolved")</f>
        <v>21.3240984524546</v>
      </c>
      <c r="D11" s="14" t="n">
        <f aca="false">IFERROR(S2!G146/1000,"unresolved")</f>
        <v>0</v>
      </c>
      <c r="E11" s="14" t="n">
        <f aca="false">IFERROR(S3!G146/1000,"unresolved")</f>
        <v>0</v>
      </c>
      <c r="F11" s="14" t="n">
        <f aca="false">IFERROR(S4!G146/1000,"unresolved")</f>
        <v>0</v>
      </c>
      <c r="G11" s="14" t="n">
        <f aca="false">IFERROR(S5!G146/1000,"unresolved")</f>
        <v>0</v>
      </c>
      <c r="H11" s="14" t="n">
        <f aca="false">IFERROR(S6!G146/1000,"unresolved")</f>
        <v>0</v>
      </c>
      <c r="I11" s="14" t="n">
        <f aca="false">IFERROR(S7!G146/1000,"unresolved")</f>
        <v>67.3352826005094</v>
      </c>
      <c r="J11" s="14" t="n">
        <f aca="false">IFERROR(S8!G146/1000,"unresolved")</f>
        <v>0</v>
      </c>
      <c r="K11" s="14" t="n">
        <f aca="false">IFERROR(S8E!G146/1000,"unresolved")</f>
        <v>0</v>
      </c>
      <c r="L11" s="14" t="n">
        <f aca="false">IFERROR(S8L!G146/1000,"unresolved")</f>
        <v>0</v>
      </c>
      <c r="M11" s="14" t="n">
        <f aca="false">IFERROR(S9!G146/1000,"unresolved")</f>
        <v>0</v>
      </c>
      <c r="N11" s="14" t="n">
        <f aca="false">IFERROR(S10!G146/1000,"unresolved")</f>
        <v>0</v>
      </c>
    </row>
    <row r="12" customFormat="false" ht="15" hidden="false" customHeight="true" outlineLevel="0" collapsed="false">
      <c r="A12" s="13" t="s">
        <v>737</v>
      </c>
      <c r="B12" s="14" t="n">
        <f aca="false">IFERROR(Base!G177/1000,"unresolved")</f>
        <v>1436.4893949631</v>
      </c>
      <c r="C12" s="14" t="str">
        <f aca="false">IFERROR(S1!G177/1000,"unresolved")</f>
        <v>unresolved</v>
      </c>
      <c r="D12" s="14" t="n">
        <f aca="false">IFERROR(S2!G177/1000,"unresolved")</f>
        <v>1098.57203501564</v>
      </c>
      <c r="E12" s="14" t="str">
        <f aca="false">IFERROR(S3!G177/1000,"unresolved")</f>
        <v>unresolved</v>
      </c>
      <c r="F12" s="14" t="n">
        <f aca="false">IFERROR(S4!G177/1000,"unresolved")</f>
        <v>1135.88055295411</v>
      </c>
      <c r="G12" s="14" t="n">
        <f aca="false">IFERROR(S5!G177/1000,"unresolved")</f>
        <v>1349.30989337956</v>
      </c>
      <c r="H12" s="14" t="str">
        <f aca="false">IFERROR(S6!G177/1000,"unresolved")</f>
        <v>unresolved</v>
      </c>
      <c r="I12" s="14" t="n">
        <f aca="false">IFERROR(S7!G177/1000,"unresolved")</f>
        <v>1379.58290836546</v>
      </c>
      <c r="J12" s="14" t="n">
        <f aca="false">IFERROR(S8!G177/1000,"unresolved")</f>
        <v>1279.94150409245</v>
      </c>
      <c r="K12" s="14" t="n">
        <f aca="false">IFERROR(S8E!G177/1000,"unresolved")</f>
        <v>1419.72794159255</v>
      </c>
      <c r="L12" s="14" t="n">
        <f aca="false">IFERROR(S8L!G177/1000,"unresolved")</f>
        <v>849.086350149623</v>
      </c>
      <c r="M12" s="14" t="n">
        <f aca="false">IFERROR(S9!G177/1000,"unresolved")</f>
        <v>1410.52265253371</v>
      </c>
      <c r="N12" s="14" t="n">
        <f aca="false">IFERROR(S10!G177/1000,"unresolved")</f>
        <v>1569.97013986643</v>
      </c>
    </row>
    <row r="13" customFormat="false" ht="15" hidden="false" customHeight="true" outlineLevel="0" collapsed="false">
      <c r="A13" s="13" t="s">
        <v>692</v>
      </c>
      <c r="B13" s="17" t="str">
        <f aca="false">Base!G183</f>
        <v>No raise needed</v>
      </c>
      <c r="C13" s="17" t="str">
        <f aca="false">S1!G183</f>
        <v>Not meaningful: 2030 earnings or cash flow negative</v>
      </c>
      <c r="D13" s="17" t="str">
        <f aca="false">S2!G183</f>
        <v>No raise needed</v>
      </c>
      <c r="E13" s="17" t="str">
        <f aca="false">S3!G183</f>
        <v>Not meaningful: 2030 earnings or cash flow negative</v>
      </c>
      <c r="F13" s="17" t="str">
        <f aca="false">S4!G183</f>
        <v>No raise needed</v>
      </c>
      <c r="G13" s="17" t="str">
        <f aca="false">S5!G183</f>
        <v>No raise needed</v>
      </c>
      <c r="H13" s="17" t="str">
        <f aca="false">S6!G183</f>
        <v>Not meaningful: 2030 earnings or cash flow negative</v>
      </c>
      <c r="I13" s="17" t="str">
        <f aca="false">S7!G183</f>
        <v>Raise needed by 2030</v>
      </c>
      <c r="J13" s="17" t="str">
        <f aca="false">S8!G183</f>
        <v>No raise needed</v>
      </c>
      <c r="K13" s="17" t="str">
        <f aca="false">S8E!G183</f>
        <v>No raise needed</v>
      </c>
      <c r="L13" s="17" t="str">
        <f aca="false">S8L!G183</f>
        <v>No raise needed</v>
      </c>
      <c r="M13" s="17" t="str">
        <f aca="false">S9!G183</f>
        <v>No raise needed</v>
      </c>
      <c r="N13" s="17" t="str">
        <f aca="false">S10!G183</f>
        <v>No raise needed</v>
      </c>
    </row>
    <row r="14" customFormat="false" ht="15" hidden="false" customHeight="true" outlineLevel="0" collapsed="false">
      <c r="A14" s="13" t="s">
        <v>738</v>
      </c>
      <c r="B14" s="11" t="n">
        <f aca="false">Base!G190</f>
        <v>80.084996211726</v>
      </c>
      <c r="C14" s="11" t="str">
        <f aca="false">S1!G190</f>
        <v>unresolved</v>
      </c>
      <c r="D14" s="11" t="n">
        <f aca="false">S2!G190</f>
        <v>61.2459358008665</v>
      </c>
      <c r="E14" s="11" t="str">
        <f aca="false">S3!G190</f>
        <v>unresolved</v>
      </c>
      <c r="F14" s="11" t="n">
        <f aca="false">S4!G190</f>
        <v>63.3259041795012</v>
      </c>
      <c r="G14" s="11" t="n">
        <f aca="false">S5!G190</f>
        <v>75.224695760822</v>
      </c>
      <c r="H14" s="11" t="str">
        <f aca="false">S6!G190</f>
        <v>unresolved</v>
      </c>
      <c r="I14" s="11" t="str">
        <f aca="false">S7!G190</f>
        <v>unresolved</v>
      </c>
      <c r="J14" s="11" t="n">
        <f aca="false">S8!G190</f>
        <v>71.3573736540587</v>
      </c>
      <c r="K14" s="11" t="n">
        <f aca="false">S8E!G190</f>
        <v>79.1505368732928</v>
      </c>
      <c r="L14" s="11" t="n">
        <f aca="false">S8L!G190</f>
        <v>47.3369851344482</v>
      </c>
      <c r="M14" s="11" t="n">
        <f aca="false">S9!G190</f>
        <v>78.6373374427995</v>
      </c>
      <c r="N14" s="11" t="n">
        <f aca="false">S10!G190</f>
        <v>87.526613941313</v>
      </c>
    </row>
    <row r="15" customFormat="false" ht="15" hidden="false" customHeight="true" outlineLevel="0" collapsed="false">
      <c r="A15" s="13" t="s">
        <v>739</v>
      </c>
      <c r="B15" s="11" t="n">
        <f aca="false">Base!G184</f>
        <v>80.084996211726</v>
      </c>
      <c r="C15" s="11" t="str">
        <f aca="false">S1!G184</f>
        <v>unresolved</v>
      </c>
      <c r="D15" s="11" t="n">
        <f aca="false">S2!G184</f>
        <v>61.2459358008665</v>
      </c>
      <c r="E15" s="11" t="str">
        <f aca="false">S3!G184</f>
        <v>unresolved</v>
      </c>
      <c r="F15" s="11" t="n">
        <f aca="false">S4!G184</f>
        <v>63.3259041795012</v>
      </c>
      <c r="G15" s="11" t="n">
        <f aca="false">S5!G184</f>
        <v>75.224695760822</v>
      </c>
      <c r="H15" s="11" t="str">
        <f aca="false">S6!G184</f>
        <v>unresolved</v>
      </c>
      <c r="I15" s="11" t="n">
        <f aca="false">S7!G184</f>
        <v>76.8018911861729</v>
      </c>
      <c r="J15" s="11" t="n">
        <f aca="false">S8!G184</f>
        <v>71.3573736540587</v>
      </c>
      <c r="K15" s="11" t="n">
        <f aca="false">S8E!G184</f>
        <v>79.1505368732928</v>
      </c>
      <c r="L15" s="11" t="n">
        <f aca="false">S8L!G184</f>
        <v>47.3369851344482</v>
      </c>
      <c r="M15" s="11" t="n">
        <f aca="false">S9!G184</f>
        <v>78.6373374427995</v>
      </c>
      <c r="N15" s="11" t="n">
        <f aca="false">S10!G184</f>
        <v>87.526613941313</v>
      </c>
    </row>
    <row r="16" customFormat="false" ht="15" hidden="false" customHeight="true" outlineLevel="0" collapsed="false">
      <c r="A16" s="13" t="s">
        <v>740</v>
      </c>
      <c r="B16" s="11" t="n">
        <f aca="false">Base!G185</f>
        <v>80.084996211726</v>
      </c>
      <c r="C16" s="11" t="str">
        <f aca="false">S1!G185</f>
        <v>unresolved</v>
      </c>
      <c r="D16" s="11" t="n">
        <f aca="false">S2!G185</f>
        <v>61.2459358008665</v>
      </c>
      <c r="E16" s="11" t="str">
        <f aca="false">S3!G185</f>
        <v>unresolved</v>
      </c>
      <c r="F16" s="11" t="n">
        <f aca="false">S4!G185</f>
        <v>63.3259041795012</v>
      </c>
      <c r="G16" s="11" t="n">
        <f aca="false">S5!G185</f>
        <v>75.224695760822</v>
      </c>
      <c r="H16" s="11" t="str">
        <f aca="false">S6!G185</f>
        <v>unresolved</v>
      </c>
      <c r="I16" s="11" t="n">
        <f aca="false">S7!G185</f>
        <v>76.1580327351642</v>
      </c>
      <c r="J16" s="11" t="n">
        <f aca="false">S8!G185</f>
        <v>71.3573736540587</v>
      </c>
      <c r="K16" s="11" t="n">
        <f aca="false">S8E!G185</f>
        <v>79.1505368732928</v>
      </c>
      <c r="L16" s="11" t="n">
        <f aca="false">S8L!G185</f>
        <v>47.3369851344482</v>
      </c>
      <c r="M16" s="11" t="n">
        <f aca="false">S9!G185</f>
        <v>78.6373374427995</v>
      </c>
      <c r="N16" s="11" t="n">
        <f aca="false">S10!G185</f>
        <v>87.526613941313</v>
      </c>
    </row>
    <row r="17" customFormat="false" ht="15" hidden="false" customHeight="true" outlineLevel="0" collapsed="false">
      <c r="A17" s="13" t="s">
        <v>741</v>
      </c>
      <c r="B17" s="11" t="n">
        <f aca="false">Base!G186</f>
        <v>80.084996211726</v>
      </c>
      <c r="C17" s="11" t="str">
        <f aca="false">S1!G186</f>
        <v>unresolved</v>
      </c>
      <c r="D17" s="11" t="n">
        <f aca="false">S2!G186</f>
        <v>61.2459358008665</v>
      </c>
      <c r="E17" s="11" t="str">
        <f aca="false">S3!G186</f>
        <v>unresolved</v>
      </c>
      <c r="F17" s="11" t="n">
        <f aca="false">S4!G186</f>
        <v>63.3259041795012</v>
      </c>
      <c r="G17" s="11" t="n">
        <f aca="false">S5!G186</f>
        <v>75.224695760822</v>
      </c>
      <c r="H17" s="11" t="str">
        <f aca="false">S6!G186</f>
        <v>unresolved</v>
      </c>
      <c r="I17" s="11" t="n">
        <f aca="false">S7!G186</f>
        <v>75.2567400469941</v>
      </c>
      <c r="J17" s="11" t="n">
        <f aca="false">S8!G186</f>
        <v>71.3573736540587</v>
      </c>
      <c r="K17" s="11" t="n">
        <f aca="false">S8E!G186</f>
        <v>79.1505368732928</v>
      </c>
      <c r="L17" s="11" t="n">
        <f aca="false">S8L!G186</f>
        <v>47.3369851344482</v>
      </c>
      <c r="M17" s="11" t="n">
        <f aca="false">S9!G186</f>
        <v>78.6373374427995</v>
      </c>
      <c r="N17" s="11" t="n">
        <f aca="false">S10!G186</f>
        <v>87.526613941313</v>
      </c>
    </row>
    <row r="18" customFormat="false" ht="15" hidden="false" customHeight="true" outlineLevel="0" collapsed="false">
      <c r="A18" s="10" t="s">
        <v>742</v>
      </c>
      <c r="B18" s="11" t="n">
        <f aca="false">Base!G189</f>
        <v>80.084996211726</v>
      </c>
      <c r="C18" s="11" t="str">
        <f aca="false">S1!G189</f>
        <v>unresolved</v>
      </c>
      <c r="D18" s="11" t="n">
        <f aca="false">S2!G189</f>
        <v>61.2459358008665</v>
      </c>
      <c r="E18" s="11" t="str">
        <f aca="false">S3!G189</f>
        <v>unresolved</v>
      </c>
      <c r="F18" s="11" t="n">
        <f aca="false">S4!G189</f>
        <v>63.3259041795012</v>
      </c>
      <c r="G18" s="11" t="n">
        <f aca="false">S5!G189</f>
        <v>75.224695760822</v>
      </c>
      <c r="H18" s="11" t="str">
        <f aca="false">S6!G189</f>
        <v>unresolved</v>
      </c>
      <c r="I18" s="11" t="n">
        <f aca="false">S7!G189</f>
        <v>76.1580327351642</v>
      </c>
      <c r="J18" s="11" t="n">
        <f aca="false">S8!G189</f>
        <v>71.3573736540587</v>
      </c>
      <c r="K18" s="11" t="n">
        <f aca="false">S8E!G189</f>
        <v>79.1505368732928</v>
      </c>
      <c r="L18" s="11" t="n">
        <f aca="false">S8L!G189</f>
        <v>47.3369851344482</v>
      </c>
      <c r="M18" s="11" t="n">
        <f aca="false">S9!G189</f>
        <v>78.6373374427995</v>
      </c>
      <c r="N18" s="11" t="n">
        <f aca="false">S10!G189</f>
        <v>87.526613941313</v>
      </c>
    </row>
    <row r="19" customFormat="false" ht="15" hidden="false" customHeight="true" outlineLevel="0" collapsed="false">
      <c r="A19" s="13" t="s">
        <v>743</v>
      </c>
      <c r="B19" s="11" t="n">
        <f aca="false">Base!F189</f>
        <v>68.6575822975675</v>
      </c>
      <c r="C19" s="11" t="str">
        <f aca="false">S1!F189</f>
        <v>unresolved</v>
      </c>
      <c r="D19" s="11" t="n">
        <f aca="false">S2!F189</f>
        <v>49.817898464805</v>
      </c>
      <c r="E19" s="11" t="str">
        <f aca="false">S3!F189</f>
        <v>unresolved</v>
      </c>
      <c r="F19" s="11" t="n">
        <f aca="false">S4!F189</f>
        <v>54.5884392804051</v>
      </c>
      <c r="G19" s="11" t="n">
        <f aca="false">S5!F189</f>
        <v>64.570696179151</v>
      </c>
      <c r="H19" s="11" t="str">
        <f aca="false">S6!F189</f>
        <v>unresolved</v>
      </c>
      <c r="I19" s="11" t="n">
        <f aca="false">S7!F189</f>
        <v>64.7381675732522</v>
      </c>
      <c r="J19" s="11" t="n">
        <f aca="false">S8!F189</f>
        <v>61.2519117628553</v>
      </c>
      <c r="K19" s="11" t="n">
        <f aca="false">S8E!F189</f>
        <v>70.0340403915676</v>
      </c>
      <c r="L19" s="11" t="n">
        <f aca="false">S8L!F189</f>
        <v>35.9031320266283</v>
      </c>
      <c r="M19" s="11" t="n">
        <f aca="false">S9!F189</f>
        <v>67.2070060989918</v>
      </c>
      <c r="N19" s="11" t="n">
        <f aca="false">S10!F189</f>
        <v>76.0992739908517</v>
      </c>
    </row>
    <row r="20" customFormat="false" ht="15" hidden="false" customHeight="true" outlineLevel="0" collapsed="false">
      <c r="A20" s="13" t="s">
        <v>744</v>
      </c>
      <c r="B20" s="14" t="n">
        <f aca="false">IFERROR(Base!G90/1000,"unresolved")</f>
        <v>0</v>
      </c>
      <c r="C20" s="14" t="n">
        <f aca="false">IFERROR(S1!G90/1000,"unresolved")</f>
        <v>26.9144468514446</v>
      </c>
      <c r="D20" s="14" t="n">
        <f aca="false">IFERROR(S2!G90/1000,"unresolved")</f>
        <v>0</v>
      </c>
      <c r="E20" s="14" t="n">
        <f aca="false">IFERROR(S3!G90/1000,"unresolved")</f>
        <v>0</v>
      </c>
      <c r="F20" s="14" t="n">
        <f aca="false">IFERROR(S4!G90/1000,"unresolved")</f>
        <v>0</v>
      </c>
      <c r="G20" s="14" t="n">
        <f aca="false">IFERROR(S5!G90/1000,"unresolved")</f>
        <v>0</v>
      </c>
      <c r="H20" s="14" t="n">
        <f aca="false">IFERROR(S6!G90/1000,"unresolved")</f>
        <v>0</v>
      </c>
      <c r="I20" s="14" t="n">
        <f aca="false">IFERROR(S7!G90/1000,"unresolved")</f>
        <v>67.3352826005094</v>
      </c>
      <c r="J20" s="14" t="n">
        <f aca="false">IFERROR(S8!G90/1000,"unresolved")</f>
        <v>0</v>
      </c>
      <c r="K20" s="14" t="n">
        <f aca="false">IFERROR(S8E!G90/1000,"unresolved")</f>
        <v>0</v>
      </c>
      <c r="L20" s="14" t="n">
        <f aca="false">IFERROR(S8L!G90/1000,"unresolved")</f>
        <v>0</v>
      </c>
      <c r="M20" s="14" t="n">
        <f aca="false">IFERROR(S9!G90/1000,"unresolved")</f>
        <v>0</v>
      </c>
      <c r="N20" s="14" t="n">
        <f aca="false">IFERROR(S10!G90/1000,"unresolved")</f>
        <v>0</v>
      </c>
    </row>
    <row r="21" customFormat="false" ht="15" hidden="false" customHeight="true" outlineLevel="0" collapsed="false">
      <c r="A21" s="13" t="s">
        <v>745</v>
      </c>
      <c r="B21" s="14" t="n">
        <f aca="false">IFERROR(Base!G147/1000,"unresolved")</f>
        <v>0</v>
      </c>
      <c r="C21" s="14" t="n">
        <f aca="false">IFERROR(S1!G147/1000,"unresolved")</f>
        <v>16.3240984524546</v>
      </c>
      <c r="D21" s="14" t="n">
        <f aca="false">IFERROR(S2!G147/1000,"unresolved")</f>
        <v>0</v>
      </c>
      <c r="E21" s="14" t="n">
        <f aca="false">IFERROR(S3!G147/1000,"unresolved")</f>
        <v>0</v>
      </c>
      <c r="F21" s="14" t="n">
        <f aca="false">IFERROR(S4!G147/1000,"unresolved")</f>
        <v>0</v>
      </c>
      <c r="G21" s="14" t="n">
        <f aca="false">IFERROR(S5!G147/1000,"unresolved")</f>
        <v>0</v>
      </c>
      <c r="H21" s="14" t="n">
        <f aca="false">IFERROR(S6!G147/1000,"unresolved")</f>
        <v>0</v>
      </c>
      <c r="I21" s="14" t="n">
        <f aca="false">IFERROR(S7!G147/1000,"unresolved")</f>
        <v>62.3352826005094</v>
      </c>
      <c r="J21" s="14" t="n">
        <f aca="false">IFERROR(S8!G147/1000,"unresolved")</f>
        <v>0</v>
      </c>
      <c r="K21" s="14" t="n">
        <f aca="false">IFERROR(S8E!G147/1000,"unresolved")</f>
        <v>0</v>
      </c>
      <c r="L21" s="14" t="n">
        <f aca="false">IFERROR(S8L!G147/1000,"unresolved")</f>
        <v>0</v>
      </c>
      <c r="M21" s="14" t="n">
        <f aca="false">IFERROR(S9!G147/1000,"unresolved")</f>
        <v>0</v>
      </c>
      <c r="N21" s="14" t="n">
        <f aca="false">IFERROR(S10!G147/1000,"unresolved")</f>
        <v>0</v>
      </c>
    </row>
    <row r="22" customFormat="false" ht="15" hidden="false" customHeight="true" outlineLevel="0" collapsed="false">
      <c r="A22" s="13" t="s">
        <v>746</v>
      </c>
      <c r="B22" s="14" t="n">
        <f aca="false">MIN(Base!C157:G157)/1000</f>
        <v>131.845</v>
      </c>
      <c r="C22" s="14" t="n">
        <f aca="false">MIN(S1!C157:G157)/1000</f>
        <v>5.53310246131136</v>
      </c>
      <c r="D22" s="14" t="n">
        <f aca="false">MIN(S2!C157:G157)/1000</f>
        <v>131.845</v>
      </c>
      <c r="E22" s="14" t="n">
        <f aca="false">MIN(S3!C157:G157)/1000</f>
        <v>131.845</v>
      </c>
      <c r="F22" s="14" t="n">
        <f aca="false">MIN(S4!C157:G157)/1000</f>
        <v>131.845</v>
      </c>
      <c r="G22" s="14" t="n">
        <f aca="false">MIN(S5!C157:G157)/1000</f>
        <v>131.845</v>
      </c>
      <c r="H22" s="14" t="n">
        <f aca="false">MIN(S6!C157:G157)/1000</f>
        <v>84.6602076078217</v>
      </c>
      <c r="I22" s="14" t="n">
        <f aca="false">MIN(S7!C157:G157)/1000</f>
        <v>5</v>
      </c>
      <c r="J22" s="14" t="n">
        <f aca="false">MIN(S8!C157:G157)/1000</f>
        <v>114.185449151918</v>
      </c>
      <c r="K22" s="14" t="n">
        <f aca="false">MIN(S8E!C157:G157)/1000</f>
        <v>88.9929491519178</v>
      </c>
      <c r="L22" s="14" t="n">
        <f aca="false">MIN(S8L!C157:G157)/1000</f>
        <v>131.845</v>
      </c>
      <c r="M22" s="14" t="n">
        <f aca="false">MIN(S9!C157:G157)/1000</f>
        <v>131.845</v>
      </c>
      <c r="N22" s="14" t="n">
        <f aca="false">MIN(S10!C157:G157)/1000</f>
        <v>131.845</v>
      </c>
    </row>
    <row r="23" customFormat="false" ht="15" hidden="false" customHeight="true" outlineLevel="0" collapsed="false">
      <c r="A23" s="13" t="s">
        <v>747</v>
      </c>
      <c r="B23" s="14" t="n">
        <f aca="false">IFERROR(Base!G156/1000,"unresolved")</f>
        <v>344.792036967462</v>
      </c>
      <c r="C23" s="14" t="n">
        <f aca="false">IFERROR(S1!G156/1000,"unresolved")</f>
        <v>5.53310246131136</v>
      </c>
      <c r="D23" s="14" t="n">
        <f aca="false">IFERROR(S2!G156/1000,"unresolved")</f>
        <v>295.803316755193</v>
      </c>
      <c r="E23" s="14" t="n">
        <f aca="false">IFERROR(S3!G156/1000,"unresolved")</f>
        <v>149.445122292353</v>
      </c>
      <c r="F23" s="14" t="n">
        <f aca="false">IFERROR(S4!G156/1000,"unresolved")</f>
        <v>344.792036967462</v>
      </c>
      <c r="G23" s="14" t="n">
        <f aca="false">IFERROR(S5!G156/1000,"unresolved")</f>
        <v>344.792036967462</v>
      </c>
      <c r="H23" s="14" t="n">
        <f aca="false">IFERROR(S6!G156/1000,"unresolved")</f>
        <v>84.6602076078217</v>
      </c>
      <c r="I23" s="14" t="n">
        <f aca="false">IFERROR(S7!G156/1000,"unresolved")</f>
        <v>405.621420804377</v>
      </c>
      <c r="J23" s="14" t="n">
        <f aca="false">IFERROR(S8!G156/1000,"unresolved")</f>
        <v>249.190523792434</v>
      </c>
      <c r="K23" s="14" t="n">
        <f aca="false">IFERROR(S8E!G156/1000,"unresolved")</f>
        <v>237.877296454425</v>
      </c>
      <c r="L23" s="14" t="n">
        <f aca="false">IFERROR(S8L!G156/1000,"unresolved")</f>
        <v>250.825427283327</v>
      </c>
      <c r="M23" s="14" t="n">
        <f aca="false">IFERROR(S9!G156/1000,"unresolved")</f>
        <v>314.331246652812</v>
      </c>
      <c r="N23" s="14" t="n">
        <f aca="false">IFERROR(S10!G156/1000,"unresolved")</f>
        <v>364.146204723487</v>
      </c>
    </row>
    <row r="24" customFormat="false" ht="15" hidden="false" customHeight="true" outlineLevel="0" collapsed="false">
      <c r="A24" s="13" t="s">
        <v>748</v>
      </c>
      <c r="B24" s="14" t="n">
        <f aca="false">IFERROR(Base!G46/1000,"unresolved")</f>
        <v>0</v>
      </c>
      <c r="C24" s="14" t="n">
        <f aca="false">IFERROR(S1!G46/1000,"unresolved")</f>
        <v>0</v>
      </c>
      <c r="D24" s="14" t="n">
        <f aca="false">IFERROR(S2!G46/1000,"unresolved")</f>
        <v>0</v>
      </c>
      <c r="E24" s="14" t="n">
        <f aca="false">IFERROR(S3!G46/1000,"unresolved")</f>
        <v>0</v>
      </c>
      <c r="F24" s="14" t="n">
        <f aca="false">IFERROR(S4!G46/1000,"unresolved")</f>
        <v>0</v>
      </c>
      <c r="G24" s="14" t="n">
        <f aca="false">IFERROR(S5!G46/1000,"unresolved")</f>
        <v>0</v>
      </c>
      <c r="H24" s="14" t="n">
        <f aca="false">IFERROR(S6!G46/1000,"unresolved")</f>
        <v>0</v>
      </c>
      <c r="I24" s="14" t="n">
        <f aca="false">IFERROR(S7!G46/1000,"unresolved")</f>
        <v>0</v>
      </c>
      <c r="J24" s="14" t="n">
        <f aca="false">IFERROR(S8!G46/1000,"unresolved")</f>
        <v>0</v>
      </c>
      <c r="K24" s="14" t="n">
        <f aca="false">IFERROR(S8E!G46/1000,"unresolved")</f>
        <v>0</v>
      </c>
      <c r="L24" s="14" t="n">
        <f aca="false">IFERROR(S8L!G46/1000,"unresolved")</f>
        <v>0</v>
      </c>
      <c r="M24" s="14" t="n">
        <f aca="false">IFERROR(S9!G46/1000,"unresolved")</f>
        <v>0</v>
      </c>
      <c r="N24" s="14" t="n">
        <f aca="false">IFERROR(S10!G46/1000,"unresolved")</f>
        <v>0</v>
      </c>
    </row>
    <row r="25" customFormat="false" ht="15" hidden="false" customHeight="true" outlineLevel="0" collapsed="false">
      <c r="A25" s="13" t="s">
        <v>749</v>
      </c>
      <c r="B25" s="14" t="n">
        <f aca="false">IFERROR(Base!G176/1000,"unresolved")</f>
        <v>1436.4893949631</v>
      </c>
      <c r="C25" s="14" t="n">
        <f aca="false">IFERROR(S1!G176/1000,"unresolved")</f>
        <v>-1309.06406274417</v>
      </c>
      <c r="D25" s="14" t="n">
        <f aca="false">IFERROR(S2!G176/1000,"unresolved")</f>
        <v>1098.57203501564</v>
      </c>
      <c r="E25" s="14" t="n">
        <f aca="false">IFERROR(S3!G176/1000,"unresolved")</f>
        <v>-147.353463430383</v>
      </c>
      <c r="F25" s="14" t="n">
        <f aca="false">IFERROR(S4!G176/1000,"unresolved")</f>
        <v>1135.88055295411</v>
      </c>
      <c r="G25" s="14" t="n">
        <f aca="false">IFERROR(S5!G176/1000,"unresolved")</f>
        <v>1349.30989337956</v>
      </c>
      <c r="H25" s="14" t="n">
        <f aca="false">IFERROR(S6!G176/1000,"unresolved")</f>
        <v>-391.947726509874</v>
      </c>
      <c r="I25" s="14" t="n">
        <f aca="false">IFERROR(S7!G176/1000,"unresolved")</f>
        <v>1379.58290836546</v>
      </c>
      <c r="J25" s="14" t="n">
        <f aca="false">IFERROR(S8!G176/1000,"unresolved")</f>
        <v>1279.94150409245</v>
      </c>
      <c r="K25" s="14" t="n">
        <f aca="false">IFERROR(S8E!G176/1000,"unresolved")</f>
        <v>1419.72794159255</v>
      </c>
      <c r="L25" s="14" t="n">
        <f aca="false">IFERROR(S8L!G176/1000,"unresolved")</f>
        <v>849.086350149623</v>
      </c>
      <c r="M25" s="14" t="n">
        <f aca="false">IFERROR(S9!G176/1000,"unresolved")</f>
        <v>1410.52265253371</v>
      </c>
      <c r="N25" s="14" t="n">
        <f aca="false">IFERROR(S10!G176/1000,"unresolved")</f>
        <v>1569.97013986643</v>
      </c>
    </row>
    <row r="26" customFormat="false" ht="15" hidden="false" customHeight="true" outlineLevel="0" collapsed="false">
      <c r="A26" s="13" t="s">
        <v>750</v>
      </c>
      <c r="B26" s="14" t="n">
        <f aca="false">IFERROR(Base!G131/1000,"unresolved")</f>
        <v>83.1942286952827</v>
      </c>
      <c r="C26" s="14" t="n">
        <f aca="false">IFERROR(S1!G131/1000,"unresolved")</f>
        <v>-67.3965864988404</v>
      </c>
      <c r="D26" s="14" t="n">
        <f aca="false">IFERROR(S2!G131/1000,"unresolved")</f>
        <v>66.1632190551216</v>
      </c>
      <c r="E26" s="14" t="n">
        <f aca="false">IFERROR(S3!G131/1000,"unresolved")</f>
        <v>-3.73584844235494</v>
      </c>
      <c r="F26" s="14" t="n">
        <f aca="false">IFERROR(S4!G131/1000,"unresolved")</f>
        <v>83.1942286952827</v>
      </c>
      <c r="G26" s="14" t="n">
        <f aca="false">IFERROR(S5!G131/1000,"unresolved")</f>
        <v>83.1942286952827</v>
      </c>
      <c r="H26" s="14" t="n">
        <f aca="false">IFERROR(S6!G131/1000,"unresolved")</f>
        <v>-26.5185660102703</v>
      </c>
      <c r="I26" s="14" t="n">
        <f aca="false">IFERROR(S7!G131/1000,"unresolved")</f>
        <v>148.444825234194</v>
      </c>
      <c r="J26" s="14" t="n">
        <f aca="false">IFERROR(S8!G131/1000,"unresolved")</f>
        <v>77.2029471650478</v>
      </c>
      <c r="K26" s="14" t="n">
        <f aca="false">IFERROR(S8E!G131/1000,"unresolved")</f>
        <v>85.2536531154393</v>
      </c>
      <c r="L26" s="14" t="n">
        <f aca="false">IFERROR(S8L!G131/1000,"unresolved")</f>
        <v>53.8718431163224</v>
      </c>
      <c r="M26" s="14" t="n">
        <f aca="false">IFERROR(S9!G131/1000,"unresolved")</f>
        <v>82.6292927150952</v>
      </c>
      <c r="N26" s="14" t="n">
        <f aca="false">IFERROR(S10!G131/1000,"unresolved")</f>
        <v>89.9227371397146</v>
      </c>
    </row>
    <row r="27" customFormat="false" ht="15" hidden="false" customHeight="true" outlineLevel="0" collapsed="false">
      <c r="A27" s="13" t="s">
        <v>751</v>
      </c>
      <c r="B27" s="59" t="str">
        <f aca="false">Base!G181</f>
        <v>cash-positive</v>
      </c>
      <c r="C27" s="59" t="n">
        <f aca="false">S1!G181</f>
        <v>0</v>
      </c>
      <c r="D27" s="59" t="str">
        <f aca="false">S2!G181</f>
        <v>cash-positive</v>
      </c>
      <c r="E27" s="59" t="n">
        <f aca="false">S3!G181</f>
        <v>40.0029938575742</v>
      </c>
      <c r="F27" s="59" t="str">
        <f aca="false">S4!G181</f>
        <v>cash-positive</v>
      </c>
      <c r="G27" s="59" t="str">
        <f aca="false">S5!G181</f>
        <v>cash-positive</v>
      </c>
      <c r="H27" s="59" t="n">
        <f aca="false">S6!G181</f>
        <v>3.19248814491077</v>
      </c>
      <c r="I27" s="59" t="str">
        <f aca="false">S7!G181</f>
        <v>cash-positive</v>
      </c>
      <c r="J27" s="59" t="str">
        <f aca="false">S8!G181</f>
        <v>cash-positive</v>
      </c>
      <c r="K27" s="59" t="str">
        <f aca="false">S8E!G181</f>
        <v>cash-positive</v>
      </c>
      <c r="L27" s="59" t="str">
        <f aca="false">S8L!G181</f>
        <v>cash-positive</v>
      </c>
      <c r="M27" s="59" t="str">
        <f aca="false">S9!G181</f>
        <v>cash-positive</v>
      </c>
      <c r="N27" s="59" t="str">
        <f aca="false">S10!G181</f>
        <v>cash-positive</v>
      </c>
    </row>
    <row r="29" customFormat="false" ht="15" hidden="false" customHeight="true" outlineLevel="0" collapsed="false">
      <c r="A29" s="10" t="s">
        <v>752</v>
      </c>
    </row>
    <row r="30" customFormat="false" ht="15" hidden="false" customHeight="true" outlineLevel="0" collapsed="false">
      <c r="A30" s="13" t="s">
        <v>753</v>
      </c>
      <c r="B30" s="14" t="n">
        <f aca="false">SUM(S1!D76:G76)/1000</f>
        <v>-186.1874242</v>
      </c>
    </row>
    <row r="31" customFormat="false" ht="15" hidden="false" customHeight="true" outlineLevel="0" collapsed="false">
      <c r="A31" s="13" t="s">
        <v>754</v>
      </c>
      <c r="B31" s="14" t="n">
        <f aca="false">SUM(S1!D132:G132)/1000</f>
        <v>-180.71006704</v>
      </c>
    </row>
    <row r="32" customFormat="false" ht="15" hidden="false" customHeight="true" outlineLevel="0" collapsed="false">
      <c r="A32" s="13" t="s">
        <v>755</v>
      </c>
      <c r="B32" s="14" t="n">
        <f aca="false">S1!C141/1000</f>
        <v>137.664717399491</v>
      </c>
    </row>
    <row r="33" customFormat="false" ht="15" hidden="false" customHeight="true" outlineLevel="0" collapsed="false">
      <c r="A33" s="13" t="s">
        <v>756</v>
      </c>
      <c r="B33" s="14" t="n">
        <f aca="false">SUM(S1!D131:G131)/1000</f>
        <v>-153.988815851945</v>
      </c>
    </row>
    <row r="34" customFormat="false" ht="15" hidden="false" customHeight="true" outlineLevel="0" collapsed="false">
      <c r="A34" s="6" t="s">
        <v>757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2026-11-03T01:22:39Z</dcterms:created>
  <dc:creator>Mike Ye</dc:creator>
  <dc:description/>
  <dc:language>en-US</dc:language>
  <cp:lastModifiedBy>Mike Ye</cp:lastModifiedBy>
  <dcterms:modified xsi:type="dcterms:W3CDTF">2026-11-03T01:23:41Z</dcterms:modified>
  <cp:revision>0</cp:revision>
  <dc:subject/>
  <dc:title>Anthropic (ANT) Hybrid Valuation Model v1.3.3</dc:title>
</cp:coreProperties>
</file>

<file path=docProps/custom.xml><?xml version="1.0" encoding="utf-8"?>
<Properties xmlns="http://schemas.openxmlformats.org/officeDocument/2006/custom-properties" xmlns:vt="http://schemas.openxmlformats.org/officeDocument/2006/docPropsVTypes"/>
</file>