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worksheets/sheet6.xml" ContentType="application/vnd.openxmlformats-officedocument.spreadsheetml.worksheet+xml"/>
  <Override PartName="/xl/comments4.xml" ContentType="application/vnd.openxmlformats-officedocument.spreadsheetml.comments+xml"/>
  <Override PartName="/xl/worksheets/sheet7.xml" ContentType="application/vnd.openxmlformats-officedocument.spreadsheetml.worksheet+xml"/>
  <Override PartName="/xl/comments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omments6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f11fd686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1428a060c49404d"/>
    <x:sheet xmlns:r="http://schemas.openxmlformats.org/officeDocument/2006/relationships" name="Valuation Summary" sheetId="2" r:id="Rf5f2440554804337"/>
    <x:sheet xmlns:r="http://schemas.openxmlformats.org/officeDocument/2006/relationships" name="Assumptions" sheetId="3" r:id="R0b60410e1e89478e"/>
    <x:sheet xmlns:r="http://schemas.openxmlformats.org/officeDocument/2006/relationships" name="Historical Financials" sheetId="4" r:id="Re74778a1e3074d83"/>
    <x:sheet xmlns:r="http://schemas.openxmlformats.org/officeDocument/2006/relationships" name="Operating Forecast" sheetId="5" r:id="R7f092ea2385b43f0"/>
    <x:sheet xmlns:r="http://schemas.openxmlformats.org/officeDocument/2006/relationships" name="Trading Comps" sheetId="6" r:id="Rcffa96d88a6049d5"/>
    <x:sheet xmlns:r="http://schemas.openxmlformats.org/officeDocument/2006/relationships" name="DCF" sheetId="7" r:id="R64124471a05d46d4"/>
    <x:sheet xmlns:r="http://schemas.openxmlformats.org/officeDocument/2006/relationships" name="Transactions" sheetId="8" r:id="R57abec8b50bb4551"/>
    <x:sheet xmlns:r="http://schemas.openxmlformats.org/officeDocument/2006/relationships" name="Sum-of-the-Parts" sheetId="9" r:id="R093fec6b9a694d48"/>
    <x:sheet xmlns:r="http://schemas.openxmlformats.org/officeDocument/2006/relationships" name="Acquisition Returns" sheetId="10" r:id="R58ec7ff7aef9495e"/>
    <x:sheet xmlns:r="http://schemas.openxmlformats.org/officeDocument/2006/relationships" name="Sensitivities" sheetId="11" r:id="Rd1457d29059a4e80"/>
    <x:sheet xmlns:r="http://schemas.openxmlformats.org/officeDocument/2006/relationships" name="Sources &amp; Adjustments" sheetId="12" r:id="Rfc5c223a4d5c4593"/>
    <x:sheet xmlns:r="http://schemas.openxmlformats.org/officeDocument/2006/relationships" name="Checks" sheetId="13" r:id="Rd8bc4b940f854599"/>
    <x:sheet xmlns:r="http://schemas.openxmlformats.org/officeDocument/2006/relationships" name="Verified Inputs" sheetId="14" r:id="R792a903994244505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11" authorId="0">
      <x:text>
        <x:r>
          <x:t>Approximate 52-week range — update with the exact figures from your data source.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Type 1, 2 or 3. Everything downstream (revenue growth, margins) switches with this cell.</x:t>
        </x:r>
      </x:text>
    </x:comment>
  </x:commentList>
</x:comments>
</file>

<file path=xl/comments3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Assumed avg buyback price = current market price (9/4/2026). Used only for the share-count roll.</x:t>
        </x:r>
      </x:text>
    </x:comment>
    <x:comment ref="C6" authorId="0">
      <x:text>
        <x:r>
          <x:t>FY25 SBC $162M = 1.05% of sales.</x:t>
        </x:r>
      </x:text>
    </x:comment>
    <x:comment ref="C36" authorId="0">
      <x:text>
        <x:r>
          <x:t>FY2025 base operating NWC = 2,207+316+252−1,200−2,100 = −$525M (net payables position). AP FY25 is an estimate; see Sources.</x:t>
        </x:r>
      </x:text>
    </x:comment>
    <x:comment ref="C77" authorId="0">
      <x:text>
        <x:r>
          <x:t>Held flat at FY25 ($3,443M); moves with lease liability so net cash impact is nil (uncapitalized convention).</x:t>
        </x:r>
      </x:text>
    </x:comment>
  </x:commentList>
</x:comments>
</file>

<file path=xl/comments4.xml><?xml version="1.0" encoding="utf-8"?>
<x:comments xmlns:x="http://schemas.openxmlformats.org/spreadsheetml/2006/main">
  <x:authors>
    <x:author>Unknown Author</x:author>
  </x:authors>
  <x:commentList>
    <x:comment ref="C21" authorId="0">
      <x:text>
        <x:r>
          <x:t>Chosen toward the low end because Gap's growth, margins and Athleta headwind justify a discount to the peer median (~9.4x). Change to test.</x:t>
        </x:r>
      </x:text>
    </x:comment>
    <x:comment ref="C23" authorId="0">
      <x:text>
        <x:r>
          <x:t>Vendor/IR LTM EBITDA ~$1,470M (after-rent, US GAAP). Peers measured on same after-rent basis; their EV includes capitalized leases — see lease-basis note.</x:t>
        </x:r>
      </x:text>
    </x:comment>
    <x:comment ref="C24" authorId="0">
      <x:text>
        <x:r>
          <x:t>LT lease $3,485M + estimated current lease ~$565M. Stripped in the bridge because peer EVs include capitalized leases. Refine from 10-K lease note.</x:t>
        </x:r>
      </x:text>
    </x:comment>
    <x:comment ref="G18" authorId="0">
      <x:text>
        <x:r>
          <x:t>Gap trades ~7.6x EV/EBITDA — at the LOW end of the peer set (near ANF/AEO), well below RL/URBN/LEVI. Reflects lower growth/margins and Athleta drag. Do NOT apply the peer median.</x:t>
        </x:r>
      </x:text>
    </x:comment>
  </x:commentList>
</x:comments>
</file>

<file path=xl/comments5.xml><?xml version="1.0" encoding="utf-8"?>
<x:comments xmlns:x="http://schemas.openxmlformats.org/spreadsheetml/2006/main">
  <x:authors>
    <x:author>Unknown Author</x:author>
  </x:authors>
  <x:commentList>
    <x:comment ref="C19" authorId="0">
      <x:text>
        <x:r>
          <x:t>Actual calendar years from the 9/4/2026 valuation date to each fiscal year-end. FY26E ends 1/30/27 ≈ 0.40 yr.</x:t>
        </x:r>
      </x:text>
    </x:comment>
  </x:commentList>
</x:comments>
</file>

<file path=xl/comments6.xml><?xml version="1.0" encoding="utf-8"?>
<x:comments xmlns:x="http://schemas.openxmlformats.org/spreadsheetml/2006/main">
  <x:authors>
    <x:author>tc={47BD8170-4B59-4FA5-AD77-41920BE343EB}</x:author>
    <x:author>tc={50FB6BEC-7D83-4C6E-A4D5-575AF548248B}</x:author>
    <x:author>tc={FBC272D3-BD9E-4D1F-9050-3D9A35D13522}</x:author>
    <x:author>tc={2F2EE01F-477A-4CBA-A323-FB3160D3B48F}</x:author>
    <x:author>tc={05F099B6-87C4-4F59-9F66-6DD3144CB77B}</x:author>
    <x:author>tc={168C6845-759D-45FE-B336-35C933CFA8F2}</x:author>
    <x:author>tc={127FB266-AA66-42C6-85C8-F831B7A54AA7}</x:author>
    <x:author>tc={40ECAE3D-960A-4DBB-9CBD-210756378F56}</x:author>
    <x:author>tc={0C8EAFDD-6886-4EC2-AFA1-FF3676CC601A}</x:author>
    <x:author>tc={FD32451D-CAA0-47E2-9DB1-4116F9F112AF}</x:author>
    <x:author>tc={1CF25E40-9646-4C83-B6EA-1E787539F5EE}</x:author>
    <x:author>tc={197CDEF1-AA2F-4189-8B4F-7B8663F03953}</x:author>
    <x:author>tc={037939B8-E665-4B76-B819-0BC89A4D6427}</x:author>
    <x:author>tc={C0D5816A-AB8D-4EB9-980F-D53D3F87CB8B}</x:author>
    <x:author>tc={0A52E63A-13C8-492D-A20B-A8043B4CA0E1}</x:author>
    <x:author>tc={093F90C6-3773-47B9-9545-2F7B7A011833}</x:author>
    <x:author>tc={CC4C4CD4-A07C-4D34-A316-7891E44AD706}</x:author>
    <x:author>tc={610E482D-902F-4713-BEC7-90A3C7DD11B7}</x:author>
    <x:author>tc={4AF9E68B-DAAF-4FB2-B62C-9D1DC39478E0}</x:author>
    <x:author>tc={1E82B950-6269-4A2F-9B37-88FE0632DB8D}</x:author>
    <x:author>tc={28998DB4-C2F7-4217-9F79-7C0C92737878}</x:author>
  </x:authors>
  <x:commentList>
    <x:comment ref="C10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0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2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3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5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6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6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7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2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3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<x:sst xmlns:x="http://schemas.openxmlformats.org/spreadsheetml/2006/main">
  <x:si>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</x:t>
  </x:si>
  <x:si>
    <x:t xml:space="preserve">Five fiscal years, tied to SEC filings &amp; press releases. See Sources for exact citations.</x:t>
  </x:si>
  <x:si>
    <x:t xml:space="preserve">Income statement</x:t>
  </x:si>
  <x:si>
    <x:t xml:space="preserve">($ in millions)</x:t>
  </x:si>
  <x:si>
    <x:t xml:space="preserve">FY2021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</x:si>
  <x:si>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</x:si>
  <x:si>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</x:si>
  <x:si>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</x:si>
  <x:si>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</x:si>
  <x:si>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1/29/22</x:t>
  </x:si>
  <x:si>
    <x:t xml:space="preserve">1/28/23</x:t>
  </x:si>
  <x:si>
    <x:t xml:space="preserve">2/3/24</x:t>
  </x:si>
  <x:si>
    <x:t xml:space="preserve">2/1/25</x:t>
  </x:si>
  <x:si>
    <x:t xml:space="preserve">1/31/26</x:t>
  </x:si>
  <x:si>
    <x:t xml:space="preserve">Net sales</x:t>
  </x:si>
  <x:si>
    <x:t xml:space="preserve">Cost of goods sold &amp; occupancy</x:t>
  </x:si>
  <x:si>
    <x:t xml:space="preserve">Gross profit</x:t>
  </x:si>
  <x:si>
    <x:t xml:space="preserve">   Gross margin %</x:t>
  </x:si>
  <x:si>
    <x:t xml:space="preserve">Selling, general &amp; administrative</x:t>
  </x:si>
  <x:si>
    <x:t xml:space="preserve">Operating income</x:t>
  </x:si>
  <x:si>
    <x:t xml:space="preserve">   Operating margin %</x:t>
  </x:si>
  <x:si>
    <x:t xml:space="preserve">Depreciation &amp; amortization (memo)</x:t>
  </x:si>
  <x:si>
    <x:t xml:space="preserve">EBITDA (Op. income + D&amp;A)</x:t>
  </x:si>
  <x:si>
    <x:t xml:space="preserve">Net income (reported)</x:t>
  </x:si>
  <x:si>
    <x:t xml:space="preserve">Diluted EPS ($)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</x:si>
  <x:si>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</x:si>
  <x:si>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</x:si>
  <x:si>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</x:si>
  <x:si>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Free cash flow (OCF − capex)</x:t>
  </x:si>
  <x:si>
    <x:t xml:space="preserve">Stock-based compensation</x:t>
  </x:si>
  <x:si>
    <x:t xml:space="preserve">Dividends paid</x:t>
  </x:si>
  <x:si>
    <x:t xml:space="preserve">Share repurchases</x:t>
  </x:si>
  <x:si>
    <x:t xml:space="preserve">Balance sheet (fiscal year-end)</x:t>
  </x:si>
  <x:si>
    <x:t xml:space="preserve">Cash &amp; equivalents</x:t>
  </x:si>
  <x:si>
    <x:t xml:space="preserve">Short-term investments</x:t>
  </x:si>
  <x:si>
    <x:t xml:space="preserve">Receivables</x:t>
  </x:si>
  <x:si>
    <x:t xml:space="preserve">Merchandise inventory</x:t>
  </x:si>
  <x:si>
    <x:t xml:space="preserve">Total current assets</x:t>
  </x:si>
  <x:si>
    <x:t xml:space="preserve">Net property &amp; equipment</x:t>
  </x:si>
  <x:si>
    <x:t xml:space="preserve">n/a</x:t>
  </x:si>
  <x:si>
    <x:t xml:space="preserve">Operating lease ROU asset</x:t>
  </x:si>
  <x:si>
    <x:t xml:space="preserve">Goodwill</x:t>
  </x:si>
  <x:si>
    <x:t xml:space="preserve">Total assets</x:t>
  </x:si>
  <x:si>
    <x:t xml:space="preserve">Total current liabilities</x:t>
  </x:si>
  <x:si>
    <x:t xml:space="preserve">Long-term debt</x:t>
  </x:si>
  <x:si>
    <x:t xml:space="preserve">LT operating lease liability</x:t>
  </x:si>
  <x:si>
    <x:t xml:space="preserve">Total liabilities</x:t>
  </x:si>
  <x:si>
    <x:t xml:space="preserve">Total stockholders' equity</x:t>
  </x:si>
  <x:si>
    <x:t xml:space="preserve">Check: Assets − (Liab + Equity)</x:t>
  </x:si>
  <x:si>
    <x:t xml:space="preserve">Brand net sales &amp; comparable sales</x:t>
  </x:si>
  <x:si>
    <x:t xml:space="preserve">Brand</x:t>
  </x:si>
  <x:si>
    <x:t xml:space="preserve">Comp FY25</x:t>
  </x:si>
  <x:si>
    <x:t xml:space="preserve">   Old Navy</x:t>
  </x:si>
  <x:si>
    <x:t xml:space="preserve">   Gap</x:t>
  </x:si>
  <x:si>
    <x:t xml:space="preserve">   Banana Republic</x:t>
  </x:si>
  <x:si>
    <x:t xml:space="preserve">   Athleta</x:t>
  </x:si>
  <x:si>
    <x:t xml:space="preserve">   Other</x:t>
  </x:si>
  <x:si>
    <x:t xml:space="preserve">   Total net sales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</x:si>
</x:sst>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0.00"/>
    <x:numFmt numFmtId="170" formatCode="0.0\x;\(0.0&quot;x)&quot;;\-"/>
    <x:numFmt numFmtId="171" formatCode="#,##0.0;\(#,##0.0\);\-"/>
    <x:numFmt numFmtId="172" formatCode="\$#,##0.0;&quot;($&quot;#,##0.0\);\-"/>
    <x:numFmt numFmtId="173" formatCode="0.000"/>
    <x:numFmt numFmtId="174" formatCode="0.00\x"/>
    <x:numFmt numFmtId="200" formatCode="mmm d, yyyy"/>
    <x:numFmt numFmtId="201" formatCode="$0.00;($0.00);&quot;—&quot;"/>
    <x:numFmt numFmtId="202" formatCode="#,##0;(#,##0);&quot;—&quot;"/>
    <x:numFmt numFmtId="203" formatCode="0.0%;(0.0%);&quot;—&quot;"/>
    <x:numFmt numFmtId="204" formatCode="0.0&quot;x&quot;"/>
    <x:numFmt numFmtId="205" formatCode="0.0000"/>
  </x:numFmts>
  <x:fonts count="41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b/>
      <x:sz val="11"/>
      <x:color rgb="FF1A1A17"/>
      <x:name val="Arial"/>
    </x:font>
    <x:font>
      <x:b/>
      <x:sz val="10"/>
      <x:color rgb="FFB8860B"/>
      <x:name val="Arial"/>
    </x:font>
    <x:font>
      <x:i/>
      <x:sz val="9"/>
      <x:color rgb="FFFF0000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sz val="10"/>
      <x:color rgb="FF000000"/>
      <x:name val="Arial"/>
    </x:font>
    <x:font>
      <x:sz val="10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000000"/>
      <x:name val="Calibri"/>
    </x:font>
    <x:font>
      <x:i/>
      <x:sz val="8"/>
      <x:color rgb="FF1A1A17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b/>
      <x:sz val="9"/>
      <x:color rgb="FF008000"/>
      <x:name val="Arial"/>
    </x:font>
    <x:font>
      <x:i/>
      <x:sz val="8"/>
      <x:color rgb="FFFF0000"/>
      <x:name val="Arial"/>
    </x:font>
    <x:font>
      <x:sz val="9"/>
      <x:color rgb="FFFF0000"/>
      <x:name val="Arial"/>
    </x:font>
    <x:font>
      <x:sz val="10"/>
      <x:color rgb="FFFF0000"/>
      <x:name val="Arial"/>
    </x:font>
    <x:font>
      <x:i/>
      <x:sz val="10"/>
      <x:color rgb="FFFF000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sz val="11"/>
      <x:color rgb="FF1A1A17"/>
      <x:name val="Calibri"/>
    </x:font>
    <x:font>
      <x:i/>
      <x:sz val="10"/>
      <x:color rgb="FF008000"/>
      <x:name val="Arial"/>
    </x:font>
    <x:font>
      <x:b/>
      <x:i/>
      <x:sz val="10"/>
      <x:color rgb="FF008000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FFF2A8"/>
      </x:patternFill>
    </x:fill>
    <x:fill>
      <x:patternFill patternType="solid">
        <x:fgColor rgb="FFEFE6D2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2">
    <x:border diagonalUp="0" diagonalDown="0"/>
    <x:border diagonalUp="0" diagonalDown="0">
      <x:top style="thin">
        <x:color rgb="FF1A1A17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25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center" wrapText="0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8" fillId="4" borderId="0" xfId="0" applyFont="1" applyBorder="0" applyAlignment="0">
      <x:alignment horizontal="general" vertical="bottom" wrapText="0"/>
    </x:xf>
    <x:xf numFmtId="164" fontId="13" fillId="5" borderId="0" xfId="0" applyFont="1" applyBorder="1" applyAlignment="0">
      <x:alignment horizontal="general" vertical="bottom" wrapText="0"/>
    </x:xf>
    <x:xf numFmtId="164" fontId="14" fillId="3" borderId="0" xfId="0" applyFont="1" applyBorder="0" applyAlignment="0">
      <x:alignment horizontal="general" vertical="bottom" wrapText="0"/>
    </x:xf>
    <x:xf numFmtId="164" fontId="15" fillId="3" borderId="0" xfId="0" applyFont="1" applyBorder="1" applyAlignment="1">
      <x:alignment horizontal="left" vertical="top" wrapText="1"/>
    </x:xf>
    <x:xf numFmtId="164" fontId="8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5" fontId="18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9" fillId="3" borderId="0" xfId="0" applyFont="1" applyBorder="0" applyAlignment="1">
      <x:alignment horizontal="right" vertical="center" wrapText="0"/>
    </x:xf>
    <x:xf numFmtId="166" fontId="16" fillId="3" borderId="0" xfId="0" applyFont="1" applyBorder="0" applyAlignment="1">
      <x:alignment horizontal="right" vertical="center" wrapText="0"/>
    </x:xf>
    <x:xf numFmtId="166" fontId="20" fillId="3" borderId="0" xfId="0" applyFont="1" applyBorder="0" applyAlignment="1">
      <x:alignment horizontal="right" vertical="center" wrapText="0"/>
    </x:xf>
    <x:xf numFmtId="165" fontId="20" fillId="3" borderId="0" xfId="0" applyFont="1" applyBorder="0" applyAlignment="1">
      <x:alignment horizontal="right" vertical="center" wrapText="0"/>
    </x:xf>
    <x:xf numFmtId="164" fontId="17" fillId="3" borderId="0" xfId="0" applyFont="1" applyBorder="1" applyAlignment="1">
      <x:alignment horizontal="left" vertical="top" wrapText="1"/>
    </x:xf>
    <x:xf numFmtId="164" fontId="5" fillId="3" borderId="0" xfId="0" applyFont="1" applyBorder="1" applyAlignment="1">
      <x:alignment horizontal="left" vertical="top" wrapText="1"/>
    </x:xf>
    <x:xf numFmtId="167" fontId="9" fillId="4" borderId="0" xfId="0" applyFont="1" applyBorder="0" applyAlignment="1">
      <x:alignment horizontal="right" vertical="center" wrapText="0"/>
    </x:xf>
    <x:xf numFmtId="164" fontId="14" fillId="3" borderId="0" xfId="0" applyFont="1" applyBorder="0" applyAlignment="1">
      <x:alignment horizontal="right" vertical="center" wrapText="0"/>
    </x:xf>
    <x:xf numFmtId="168" fontId="18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6" fontId="18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7" fontId="18" fillId="3" borderId="0" xfId="0" applyFont="1" applyBorder="0" applyAlignment="1">
      <x:alignment horizontal="right" vertical="center" wrapText="0"/>
    </x:xf>
    <x:xf numFmtId="169" fontId="18" fillId="3" borderId="0" xfId="0" applyFont="1" applyBorder="0" applyAlignment="1">
      <x:alignment horizontal="right" vertical="center" wrapText="0"/>
    </x:xf>
    <x:xf numFmtId="170" fontId="18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4" fontId="25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0">
      <x:alignment horizontal="general" vertical="bottom" wrapText="0"/>
    </x:xf>
    <x:xf numFmtId="168" fontId="27" fillId="3" borderId="0" xfId="0" applyFont="1" applyBorder="0" applyAlignment="1">
      <x:alignment horizontal="right" vertical="center" wrapText="0"/>
    </x:xf>
    <x:xf numFmtId="164" fontId="15" fillId="3" borderId="0" xfId="0" applyFont="1" applyBorder="0" applyAlignment="1">
      <x:alignment horizontal="right" vertical="center" wrapText="0"/>
    </x:xf>
    <x:xf numFmtId="166" fontId="28" fillId="3" borderId="0" xfId="0" applyFont="1" applyBorder="0" applyAlignment="1">
      <x:alignment horizontal="right" vertical="center" wrapText="0"/>
    </x:xf>
    <x:xf numFmtId="168" fontId="20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1">
      <x:alignment horizontal="right" vertical="center" wrapText="0"/>
    </x:xf>
    <x:xf numFmtId="168" fontId="26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64" fontId="27" fillId="3" borderId="0" xfId="0" applyFont="1" applyBorder="0" applyAlignment="0">
      <x:alignment horizontal="general" vertical="bottom" wrapText="0"/>
    </x:xf>
    <x:xf numFmtId="171" fontId="10" fillId="3" borderId="0" xfId="0" applyFont="1" applyBorder="0" applyAlignment="1">
      <x:alignment horizontal="right" vertical="center" wrapText="0"/>
    </x:xf>
    <x:xf numFmtId="171" fontId="20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8" fillId="3" borderId="0" xfId="0" applyFont="1" applyBorder="0" applyAlignment="1">
      <x:alignment horizontal="left" vertical="center" wrapText="0"/>
    </x:xf>
    <x:xf numFmtId="172" fontId="18" fillId="3" borderId="0" xfId="0" applyFont="1" applyBorder="0" applyAlignment="1">
      <x:alignment horizontal="right" vertical="center" wrapText="0"/>
    </x:xf>
    <x:xf numFmtId="170" fontId="8" fillId="3" borderId="0" xfId="0" applyFont="1" applyBorder="0" applyAlignment="1">
      <x:alignment horizontal="right" vertical="center" wrapText="0"/>
    </x:xf>
    <x:xf numFmtId="172" fontId="16" fillId="3" borderId="0" xfId="0" applyFont="1" applyBorder="0" applyAlignment="1">
      <x:alignment horizontal="right" vertical="center" wrapText="0"/>
    </x:xf>
    <x:xf numFmtId="170" fontId="20" fillId="3" borderId="0" xfId="0" applyFont="1" applyBorder="0" applyAlignment="1">
      <x:alignment horizontal="right" vertical="center" wrapText="0"/>
    </x:xf>
    <x:xf numFmtId="171" fontId="18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68" fontId="16" fillId="3" borderId="0" xfId="0" applyFont="1" applyBorder="0" applyAlignment="1">
      <x:alignment horizontal="right" vertical="center" wrapText="0"/>
    </x:xf>
    <x:xf numFmtId="169" fontId="16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73" fontId="7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0" fontId="16" fillId="3" borderId="0" xfId="0" applyFont="1" applyBorder="0" applyAlignment="1">
      <x:alignment horizontal="right" vertical="center" wrapText="0"/>
    </x:xf>
    <x:xf numFmtId="164" fontId="29" fillId="3" borderId="0" xfId="0" applyFont="1" applyBorder="0" applyAlignment="0">
      <x:alignment horizontal="general" vertical="bottom" wrapText="0"/>
    </x:xf>
    <x:xf numFmtId="164" fontId="17" fillId="3" borderId="0" xfId="0" applyFont="1" applyBorder="0" applyAlignment="0">
      <x:alignment horizontal="general" vertical="bottom" wrapText="0"/>
    </x:xf>
    <x:xf numFmtId="164" fontId="30" fillId="3" borderId="0" xfId="0" applyFont="1" applyBorder="0" applyAlignment="0">
      <x:alignment horizontal="general" vertical="bottom" wrapText="0"/>
    </x:xf>
    <x:xf numFmtId="164" fontId="31" fillId="3" borderId="0" xfId="0" applyFont="1" applyBorder="1" applyAlignment="1">
      <x:alignment horizontal="left" vertical="top" wrapText="1"/>
    </x:xf>
    <x:xf numFmtId="164" fontId="32" fillId="3" borderId="0" xfId="0" applyFont="1" applyBorder="0" applyAlignment="1">
      <x:alignment horizontal="right" vertical="center" wrapText="0"/>
    </x:xf>
    <x:xf numFmtId="164" fontId="27" fillId="3" borderId="0" xfId="0" applyFont="1" applyBorder="1" applyAlignment="1">
      <x:alignment horizontal="left" vertical="top" wrapText="1"/>
    </x:xf>
    <x:xf numFmtId="170" fontId="10" fillId="3" borderId="0" xfId="0" applyFont="1" applyBorder="0" applyAlignment="1">
      <x:alignment horizontal="right" vertical="center" wrapText="0"/>
    </x:xf>
    <x:xf numFmtId="174" fontId="10" fillId="3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0" fontId="9" fillId="3" borderId="0" xfId="0" applyFont="1" applyBorder="0" applyAlignment="1">
      <x:alignment horizontal="right" vertical="center" wrapText="0"/>
    </x:xf>
    <x:xf numFmtId="164" fontId="15" fillId="3" borderId="0" xfId="0" applyFont="1" applyBorder="0" applyAlignment="0">
      <x:alignment horizontal="general" vertical="bottom" wrapText="0"/>
    </x:xf>
    <x:xf numFmtId="164" fontId="33" fillId="3" borderId="0" xfId="0" applyFont="1" applyBorder="0" applyAlignment="0">
      <x:alignment horizontal="general" vertical="bottom" wrapText="0"/>
    </x:xf>
    <x:xf numFmtId="164" fontId="29" fillId="3" borderId="0" xfId="0" applyFont="1" applyBorder="0" applyAlignment="1">
      <x:alignment horizontal="left" vertical="top" wrapText="1"/>
    </x:xf>
    <x:xf numFmtId="168" fontId="7" fillId="3" borderId="0" xfId="0" applyFont="1" applyBorder="0" applyAlignment="1">
      <x:alignment horizontal="right" vertical="center" wrapText="0"/>
    </x:xf>
    <x:xf numFmtId="171" fontId="7" fillId="3" borderId="0" xfId="0" applyFont="1" applyBorder="0" applyAlignment="1">
      <x:alignment horizontal="right" vertical="center" wrapText="0"/>
    </x:xf>
    <x:xf numFmtId="164" fontId="34" fillId="3" borderId="0" xfId="0" applyFont="1" applyBorder="0" applyAlignment="1">
      <x:alignment horizontal="right" vertical="center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8" fillId="7" borderId="0" xfId="0" applyNumberFormat="1" applyFont="1" applyFill="1" applyBorder="1" applyAlignment="1">
      <x:alignment horizontal="general" vertical="bottom" wrapText="0"/>
    </x:xf>
    <x:xf numFmtId="201" fontId="18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8" fillId="7" borderId="0" xfId="0" applyNumberFormat="1" applyFont="1" applyFill="1" applyBorder="1" applyAlignment="1">
      <x:alignment horizontal="general" vertical="bottom" wrapText="0"/>
    </x:xf>
    <x:xf numFmtId="202" fontId="18" fillId="9" borderId="0" xfId="0" applyNumberFormat="1" applyFont="1" applyFill="1" applyBorder="1" applyAlignment="1">
      <x:alignment horizontal="general" vertical="bottom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8" fillId="7" borderId="0" xfId="0" applyNumberFormat="1" applyFont="1" applyFill="1" applyBorder="1" applyAlignment="1">
      <x:alignment horizontal="general" vertical="bottom" wrapText="0"/>
    </x:xf>
    <x:xf numFmtId="203" fontId="18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202" fontId="1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8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166" fontId="18" fillId="7" borderId="0" xfId="0" applyNumberFormat="1" applyFont="1" applyFill="1" applyBorder="1" applyAlignment="1">
      <x:alignment horizontal="right" vertical="center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7" fontId="18" fillId="7" borderId="0" xfId="0" applyNumberFormat="1" applyFont="1" applyFill="1" applyBorder="1" applyAlignment="1">
      <x:alignment horizontal="right" vertical="center" wrapText="0"/>
    </x:xf>
    <x:xf numFmtId="169" fontId="18" fillId="7" borderId="0" xfId="0" applyNumberFormat="1" applyFont="1" applyFill="1" applyBorder="1" applyAlignment="1">
      <x:alignment horizontal="right" vertical="center" wrapText="0"/>
    </x:xf>
    <x:xf numFmtId="170" fontId="1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6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left" vertical="top" wrapText="1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6" fillId="7" borderId="0" xfId="0" applyNumberFormat="1" applyFont="1" applyFill="1" applyBorder="1" applyAlignment="1">
      <x:alignment horizontal="general" vertical="bottom" wrapText="0"/>
    </x:xf>
    <x:xf numFmtId="164" fontId="36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8" fillId="7" borderId="0" xfId="0" applyNumberFormat="1" applyFont="1" applyFill="1" applyBorder="1" applyAlignment="1">
      <x:alignment horizontal="right" vertical="center" wrapText="0"/>
    </x:xf>
    <x:xf numFmtId="203" fontId="18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8" fillId="7" borderId="0" xfId="0" applyNumberFormat="1" applyFont="1" applyFill="1" applyBorder="1" applyAlignment="1">
      <x:alignment horizontal="right" vertical="center" wrapText="0"/>
    </x:xf>
    <x:xf numFmtId="202" fontId="18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4" fontId="26" fillId="10" borderId="0" xfId="0" applyNumberFormat="1" applyFont="1" applyFill="1" applyBorder="1" applyAlignment="1">
      <x:alignment horizontal="general" vertical="bottom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4" fontId="37" fillId="10" borderId="0" xfId="0" applyNumberFormat="1" applyFont="1" applyFill="1" applyBorder="1" applyAlignment="1">
      <x:alignment horizontal="general" vertical="bottom" wrapText="0"/>
    </x:xf>
    <x:xf numFmtId="169" fontId="18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8" fillId="7" borderId="0" xfId="0" applyNumberFormat="1" applyFont="1" applyFill="1" applyBorder="1" applyAlignment="1">
      <x:alignment horizontal="general" vertical="bottom" wrapText="0"/>
    </x:xf>
    <x:xf numFmtId="204" fontId="18" fillId="9" borderId="0" xfId="0" applyNumberFormat="1" applyFont="1" applyFill="1" applyBorder="1" applyAlignment="1">
      <x:alignment horizontal="general" vertical="bottom" wrapText="0"/>
    </x:xf>
    <x:xf numFmtId="167" fontId="18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8" fillId="7" borderId="0" xfId="0" applyNumberFormat="1" applyFont="1" applyFill="1" applyBorder="1" applyAlignment="1">
      <x:alignment horizontal="right" vertical="center" wrapText="0"/>
    </x:xf>
    <x:xf numFmtId="204" fontId="18" fillId="9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general" vertical="bottom" wrapText="0"/>
    </x:xf>
    <x:xf numFmtId="204" fontId="9" fillId="7" borderId="0" xfId="0" applyNumberFormat="1" applyFont="1" applyFill="1" applyBorder="1" applyAlignment="1">
      <x:alignment horizontal="general" vertical="bottom" wrapText="0"/>
    </x:xf>
    <x:xf numFmtId="204" fontId="9" fillId="9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general" vertical="bottom" wrapText="1"/>
    </x:xf>
    <x:xf numFmtId="167" fontId="7" fillId="7" borderId="0" xfId="0" applyNumberFormat="1" applyFont="1" applyFill="1" applyBorder="1" applyAlignment="1">
      <x:alignment horizontal="right" vertical="top" wrapText="1"/>
    </x:xf>
    <x:xf numFmtId="164" fontId="26" fillId="7" borderId="0" xfId="0" applyNumberFormat="1" applyFont="1" applyFill="1" applyBorder="1" applyAlignment="1">
      <x:alignment horizontal="general" vertical="top" wrapText="1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202" fontId="20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164" fontId="38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1"/>
    </x:xf>
    <x:xf numFmtId="164" fontId="7" fillId="3" borderId="0" xfId="0" applyNumberFormat="1" applyFont="1" applyFill="1" applyBorder="1" applyAlignment="1">
      <x:alignment horizontal="general" vertical="top" wrapText="1"/>
    </x:xf>
    <x:xf numFmtId="165" fontId="1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right" vertical="center" wrapText="0"/>
    </x:xf>
    <x:xf numFmtId="168" fontId="26" fillId="7" borderId="0" xfId="0" applyNumberFormat="1" applyFont="1" applyFill="1" applyBorder="1" applyAlignment="1">
      <x:alignment horizontal="right" vertical="center" wrapText="0"/>
    </x:xf>
    <x:xf numFmtId="166" fontId="20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4" fontId="27" fillId="7" borderId="0" xfId="0" applyNumberFormat="1" applyFont="1" applyFill="1" applyBorder="1" applyAlignment="1">
      <x:alignment horizontal="general" vertical="bottom" wrapText="0"/>
    </x:xf>
    <x:xf numFmtId="171" fontId="10" fillId="7" borderId="0" xfId="0" applyNumberFormat="1" applyFont="1" applyFill="1" applyBorder="1" applyAlignment="1">
      <x:alignment horizontal="right" vertical="center" wrapText="0"/>
    </x:xf>
    <x:xf numFmtId="171" fontId="20" fillId="7" borderId="0" xfId="0" applyNumberFormat="1" applyFont="1" applyFill="1" applyBorder="1" applyAlignment="1">
      <x:alignment horizontal="right" vertical="center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right" vertical="center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3" fontId="7" fillId="7" borderId="0" xfId="0" applyNumberFormat="1" applyFont="1" applyFill="1" applyBorder="1" applyAlignment="1">
      <x:alignment horizontal="general" vertical="bottom" wrapText="0"/>
    </x:xf>
    <x:xf numFmtId="173" fontId="16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2" fontId="26" fillId="7" borderId="0" xfId="0" applyNumberFormat="1" applyFont="1" applyFill="1" applyBorder="1" applyAlignment="1">
      <x:alignment horizontal="right" vertical="center" wrapText="0"/>
    </x:xf>
    <x:xf numFmtId="202" fontId="39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right" vertical="center" wrapText="0"/>
    </x:xf>
    <x:xf numFmtId="202" fontId="16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164" fontId="37" fillId="7" borderId="0" xfId="0" applyNumberFormat="1" applyFont="1" applyFill="1" applyBorder="1" applyAlignment="1">
      <x:alignment horizontal="general" vertical="bottom" wrapText="0"/>
    </x:xf>
    <x:xf numFmtId="202" fontId="37" fillId="7" borderId="0" xfId="0" applyNumberFormat="1" applyFont="1" applyFill="1" applyBorder="1" applyAlignment="1">
      <x:alignment horizontal="right" vertical="center" wrapText="0"/>
    </x:xf>
    <x:xf numFmtId="164" fontId="37" fillId="7" borderId="1" xfId="0" applyNumberFormat="1" applyFont="1" applyFill="1" applyBorder="1" applyAlignment="1">
      <x:alignment horizontal="general" vertical="bottom" wrapText="0"/>
    </x:xf>
    <x:xf numFmtId="202" fontId="37" fillId="7" borderId="1" xfId="0" applyNumberFormat="1" applyFont="1" applyFill="1" applyBorder="1" applyAlignment="1">
      <x:alignment horizontal="right" vertical="center" wrapText="0"/>
    </x:xf>
    <x:xf numFmtId="202" fontId="40" fillId="7" borderId="0" xfId="0" applyNumberFormat="1" applyFont="1" applyFill="1" applyBorder="1" applyAlignment="1">
      <x:alignment horizontal="right" vertical="center" wrapText="0"/>
    </x:xf>
    <x:xf numFmtId="202" fontId="40" fillId="7" borderId="1" xfId="0" applyNumberFormat="1" applyFont="1" applyFill="1" applyBorder="1" applyAlignment="1">
      <x:alignment horizontal="right" vertical="center" wrapText="0"/>
    </x:xf>
    <x:xf numFmtId="164" fontId="8" fillId="7" borderId="1" xfId="0" applyNumberFormat="1" applyFont="1" applyFill="1" applyBorder="1" applyAlignment="1">
      <x:alignment horizontal="general" vertical="bottom" wrapText="0"/>
    </x:xf>
    <x:xf numFmtId="202" fontId="8" fillId="7" borderId="1" xfId="0" applyNumberFormat="1" applyFont="1" applyFill="1" applyBorder="1" applyAlignment="1">
      <x:alignment horizontal="right" vertical="center" wrapText="0"/>
    </x:xf>
    <x:xf numFmtId="202" fontId="8" fillId="7" borderId="1" xfId="0" applyNumberFormat="1" applyFont="1" applyFill="1" applyBorder="1" applyAlignment="1">
      <x:alignment horizontal="general" vertical="bottom" wrapText="0"/>
    </x:xf>
    <x:xf numFmtId="168" fontId="16" fillId="7" borderId="0" xfId="0" applyNumberFormat="1" applyFont="1" applyFill="1" applyBorder="1" applyAlignment="1">
      <x:alignment horizontal="right" vertical="center" wrapText="0"/>
    </x:xf>
    <x:xf numFmtId="169" fontId="16" fillId="7" borderId="0" xfId="0" applyNumberFormat="1" applyFont="1" applyFill="1" applyBorder="1" applyAlignment="1">
      <x:alignment horizontal="right" vertical="center" wrapText="0"/>
    </x:xf>
    <x:xf numFmtId="168" fontId="20" fillId="7" borderId="0" xfId="0" applyNumberFormat="1" applyFont="1" applyFill="1" applyBorder="1" applyAlignment="1">
      <x:alignment horizontal="right" vertical="center" wrapText="0"/>
    </x:xf>
    <x:xf numFmtId="166" fontId="16" fillId="7" borderId="0" xfId="0" applyNumberFormat="1" applyFont="1" applyFill="1" applyBorder="1" applyAlignment="1">
      <x:alignment horizontal="right" vertical="center" wrapText="0"/>
    </x:xf>
    <x:xf numFmtId="173" fontId="7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0" fontId="20" fillId="7" borderId="0" xfId="0" applyNumberFormat="1" applyFont="1" applyFill="1" applyBorder="1" applyAlignment="1">
      <x:alignment horizontal="right" vertical="center" wrapText="0"/>
    </x:xf>
    <x:xf numFmtId="170" fontId="16" fillId="7" borderId="0" xfId="0" applyNumberFormat="1" applyFont="1" applyFill="1" applyBorder="1" applyAlignment="1">
      <x:alignment horizontal="right" vertical="center" wrapText="0"/>
    </x:xf>
    <x:xf numFmtId="171" fontId="18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4" fontId="29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right" vertical="center" wrapText="0"/>
    </x:xf>
    <x:xf numFmtId="200" fontId="16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right" vertical="center" wrapText="0"/>
    </x:xf>
    <x:xf numFmtId="173" fontId="11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0"/>
    </x:xf>
    <x:xf numFmtId="200" fontId="16" fillId="7" borderId="0" xfId="0" applyNumberFormat="1" applyFont="1" applyFill="1" applyBorder="1" applyAlignment="1">
      <x:alignment horizontal="general" vertical="bottom" wrapText="0"/>
    </x:xf>
    <x:xf numFmtId="164" fontId="39" fillId="7" borderId="0" xfId="0" applyNumberFormat="1" applyFont="1" applyFill="1" applyBorder="1" applyAlignment="1">
      <x:alignment horizontal="general" vertical="bottom" wrapText="0"/>
    </x:xf>
    <x:xf numFmtId="200" fontId="26" fillId="7" borderId="0" xfId="0" applyNumberFormat="1" applyFont="1" applyFill="1" applyBorder="1" applyAlignment="1">
      <x:alignment horizontal="general" vertical="bottom" wrapText="0"/>
    </x:xf>
    <x:xf numFmtId="200" fontId="39" fillId="7" borderId="0" xfId="0" applyNumberFormat="1" applyFont="1" applyFill="1" applyBorder="1" applyAlignment="1">
      <x:alignment horizontal="general" vertical="bottom" wrapText="0"/>
    </x:xf>
    <x:xf numFmtId="173" fontId="26" fillId="7" borderId="0" xfId="0" applyNumberFormat="1" applyFont="1" applyFill="1" applyBorder="1" applyAlignment="1">
      <x:alignment horizontal="general" vertical="bottom" wrapText="0"/>
    </x:xf>
    <x:xf numFmtId="173" fontId="39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right" vertical="center" wrapText="0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1" fillId="7" borderId="0" xfId="0" applyNumberFormat="1" applyFont="1" applyFill="1" applyBorder="1" applyAlignment="1">
      <x:alignment horizontal="right" vertical="center" wrapText="0"/>
    </x:xf>
    <x:xf numFmtId="173" fontId="8" fillId="7" borderId="1" xfId="0" applyNumberFormat="1" applyFont="1" applyFill="1" applyBorder="1" applyAlignment="1">
      <x:alignment horizontal="right" vertical="center" wrapText="0"/>
    </x:xf>
    <x:xf numFmtId="201" fontId="8" fillId="7" borderId="1" xfId="0" applyNumberFormat="1" applyFont="1" applyFill="1" applyBorder="1" applyAlignment="1">
      <x:alignment horizontal="right" vertical="center" wrapText="0"/>
    </x:xf>
    <x:xf numFmtId="172" fontId="18" fillId="7" borderId="0" xfId="0" applyNumberFormat="1" applyFont="1" applyFill="1" applyBorder="1" applyAlignment="1">
      <x:alignment horizontal="right" vertical="center" wrapText="0"/>
    </x:xf>
    <x:xf numFmtId="170" fontId="8" fillId="7" borderId="0" xfId="0" applyNumberFormat="1" applyFont="1" applyFill="1" applyBorder="1" applyAlignment="1">
      <x:alignment horizontal="right" vertical="center" wrapText="0"/>
    </x:xf>
    <x:xf numFmtId="165" fontId="16" fillId="7" borderId="0" xfId="0" applyNumberFormat="1" applyFont="1" applyFill="1" applyBorder="1" applyAlignment="1">
      <x:alignment horizontal="right" vertical="center" wrapText="0"/>
    </x:xf>
    <x:xf numFmtId="172" fontId="16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0" fontId="8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0" fontId="8" fillId="7" borderId="0" xfId="0" applyNumberFormat="1" applyFont="1" applyFill="1" applyBorder="1" applyAlignment="1">
      <x:alignment horizontal="right" vertical="top" wrapText="1"/>
    </x:xf>
    <x:xf numFmtId="165" fontId="7" fillId="10" borderId="0" xfId="0" applyNumberFormat="1" applyFont="1" applyFill="1" applyBorder="1" applyAlignment="1">
      <x:alignment horizontal="right" vertical="center" wrapText="0"/>
    </x:xf>
    <x:xf numFmtId="172" fontId="7" fillId="10" borderId="0" xfId="0" applyNumberFormat="1" applyFont="1" applyFill="1" applyBorder="1" applyAlignment="1">
      <x:alignment horizontal="right" vertical="center" wrapText="0"/>
    </x:xf>
    <x:xf numFmtId="170" fontId="7" fillId="10" borderId="0" xfId="0" applyNumberFormat="1" applyFont="1" applyFill="1" applyBorder="1" applyAlignment="1">
      <x:alignment horizontal="right" vertical="center" wrapText="0"/>
    </x:xf>
    <x:xf numFmtId="165" fontId="8" fillId="10" borderId="0" xfId="0" applyNumberFormat="1" applyFont="1" applyFill="1" applyBorder="1" applyAlignment="1">
      <x:alignment horizontal="right" vertical="center" wrapText="0"/>
    </x:xf>
    <x:xf numFmtId="172" fontId="8" fillId="10" borderId="0" xfId="0" applyNumberFormat="1" applyFont="1" applyFill="1" applyBorder="1" applyAlignment="1">
      <x:alignment horizontal="right" vertical="center" wrapText="0"/>
    </x:xf>
    <x:xf numFmtId="170" fontId="8" fillId="10" borderId="0" xfId="0" applyNumberFormat="1" applyFont="1" applyFill="1" applyBorder="1" applyAlignment="1">
      <x:alignment horizontal="right" vertical="center" wrapText="0"/>
    </x:xf>
    <x:xf numFmtId="204" fontId="11" fillId="7" borderId="0" xfId="0" applyNumberFormat="1" applyFont="1" applyFill="1" applyBorder="1" applyAlignment="1">
      <x:alignment horizontal="general" vertical="bottom" wrapText="0"/>
    </x:xf>
    <x:xf numFmtId="201" fontId="16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11" fillId="7" borderId="0" xfId="0" applyNumberFormat="1" applyFont="1" applyFill="1" applyBorder="1" applyAlignment="1">
      <x:alignment horizontal="right" vertical="center" wrapText="0"/>
    </x:xf>
    <x:xf numFmtId="201" fontId="16" fillId="7" borderId="0" xfId="0" applyNumberFormat="1" applyFont="1" applyFill="1" applyBorder="1" applyAlignment="1">
      <x:alignment horizontal="general" vertical="bottom" wrapText="0"/>
    </x:xf>
    <x:xf numFmtId="165" fontId="20" fillId="7" borderId="0" xfId="0" applyNumberFormat="1" applyFont="1" applyFill="1" applyBorder="1" applyAlignment="1">
      <x:alignment horizontal="right" vertical="center" wrapText="0"/>
    </x:xf>
    <x:xf numFmtId="170" fontId="10" fillId="7" borderId="0" xfId="0" applyNumberFormat="1" applyFont="1" applyFill="1" applyBorder="1" applyAlignment="1">
      <x:alignment horizontal="right" vertical="center" wrapText="0"/>
    </x:xf>
    <x:xf numFmtId="174" fontId="10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left" vertical="top" wrapText="1"/>
    </x:xf>
    <x:xf numFmtId="174" fontId="8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general" vertical="bottom" wrapText="0"/>
    </x:xf>
    <x:xf numFmtId="173" fontId="11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general" vertical="bottom" wrapText="0"/>
    </x:xf>
    <x:xf numFmtId="202" fontId="26" fillId="7" borderId="0" xfId="0" applyNumberFormat="1" applyFont="1" applyFill="1" applyBorder="1" applyAlignment="1">
      <x:alignment horizontal="general" vertical="bottom" wrapText="0"/>
    </x:xf>
    <x:xf numFmtId="173" fontId="16" fillId="7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201" fontId="26" fillId="7" borderId="0" xfId="0" applyNumberFormat="1" applyFont="1" applyFill="1" applyBorder="1" applyAlignment="1">
      <x:alignment horizontal="left" vertical="top" wrapText="1"/>
    </x:xf>
    <x:xf numFmtId="201" fontId="39" fillId="7" borderId="0" xfId="0" applyNumberFormat="1" applyFont="1" applyFill="1" applyBorder="1" applyAlignment="1">
      <x:alignment horizontal="left" vertical="top" wrapText="1"/>
    </x:xf>
    <x:xf numFmtId="168" fontId="9" fillId="7" borderId="0" xfId="0" applyNumberFormat="1" applyFont="1" applyFill="1" applyBorder="1" applyAlignment="1">
      <x:alignment horizontal="right" vertical="center" wrapText="0"/>
    </x:xf>
    <x:xf numFmtId="170" fontId="9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right" vertical="center" wrapText="0"/>
    </x:xf>
    <x:xf numFmtId="203" fontId="9" fillId="9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64" fontId="17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169" fontId="7" fillId="7" borderId="0" xfId="0" applyNumberFormat="1" applyFont="1" applyFill="1" applyBorder="1" applyAlignment="1">
      <x:alignment horizontal="general" vertical="bottom" wrapText="0"/>
    </x:xf>
    <x:xf numFmtId="169" fontId="7" fillId="7" borderId="0" xfId="0" applyNumberFormat="1" applyFont="1" applyFill="1" applyBorder="1" applyAlignment="1">
      <x:alignment horizontal="general" vertical="bottom" wrapText="1"/>
    </x:xf>
    <x:xf numFmtId="172" fontId="7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right" vertical="center" wrapText="1"/>
    </x:xf>
    <x:xf numFmtId="170" fontId="7" fillId="7" borderId="0" xfId="0" applyNumberFormat="1" applyFont="1" applyFill="1" applyBorder="1" applyAlignment="1">
      <x:alignment horizontal="right" vertical="center" wrapText="1"/>
    </x:xf>
    <x:xf numFmtId="170" fontId="7" fillId="7" borderId="0" xfId="0" applyNumberFormat="1" applyFont="1" applyFill="1" applyBorder="1" applyAlignment="1">
      <x:alignment horizontal="right" vertical="top" wrapText="1"/>
    </x:xf>
    <x:xf numFmtId="166" fontId="7" fillId="7" borderId="0" xfId="0" applyNumberFormat="1" applyFont="1" applyFill="1" applyBorder="1" applyAlignment="1">
      <x:alignment horizontal="right" vertical="center" wrapText="1"/>
    </x:xf>
    <x:xf numFmtId="165" fontId="8" fillId="7" borderId="0" xfId="0" applyNumberFormat="1" applyFont="1" applyFill="1" applyBorder="1" applyAlignment="1">
      <x:alignment horizontal="right" vertical="center" wrapText="1"/>
    </x:xf>
    <x:xf numFmtId="166" fontId="7" fillId="7" borderId="0" xfId="0" applyNumberFormat="1" applyFont="1" applyFill="1" applyBorder="1" applyAlignment="1">
      <x:alignment horizontal="right" vertical="top" wrapText="1"/>
    </x:xf>
    <x:xf numFmtId="165" fontId="8" fillId="7" borderId="0" xfId="0" applyNumberFormat="1" applyFont="1" applyFill="1" applyBorder="1" applyAlignment="1">
      <x:alignment horizontal="right" vertical="top" wrapText="1"/>
    </x:xf>
    <x:xf numFmtId="164" fontId="31" fillId="7" borderId="0" xfId="0" applyNumberFormat="1" applyFont="1" applyFill="1" applyBorder="1" applyAlignment="1">
      <x:alignment horizontal="left" vertical="top" wrapText="1"/>
    </x:xf>
    <x:xf numFmtId="164" fontId="32" fillId="7" borderId="0" xfId="0" applyNumberFormat="1" applyFont="1" applyFill="1" applyBorder="1" applyAlignment="1">
      <x:alignment horizontal="right" vertical="center" wrapText="0"/>
    </x:xf>
    <x:xf numFmtId="164" fontId="27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top" wrapText="1"/>
    </x:xf>
    <x:xf numFmtId="168" fontId="7" fillId="7" borderId="0" xfId="0" applyNumberFormat="1" applyFont="1" applyFill="1" applyBorder="1" applyAlignment="1">
      <x:alignment horizontal="right" vertical="center" wrapText="1"/>
    </x:xf>
    <x:xf numFmtId="168" fontId="7" fillId="7" borderId="0" xfId="0" applyNumberFormat="1" applyFont="1" applyFill="1" applyBorder="1" applyAlignment="1">
      <x:alignment horizontal="right" vertical="top" wrapText="1"/>
    </x:xf>
    <x:xf numFmtId="164" fontId="26" fillId="7" borderId="0" xfId="0" applyNumberFormat="1" applyFont="1" applyFill="1" applyBorder="1" applyAlignment="1">
      <x:alignment horizontal="right" vertical="top" wrapText="1"/>
    </x:xf>
    <x:xf numFmtId="164" fontId="34" fillId="7" borderId="0" xfId="0" applyNumberFormat="1" applyFont="1" applyFill="1" applyBorder="1" applyAlignment="1">
      <x:alignment horizontal="right" vertical="center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6" fillId="7" borderId="0" xfId="0" applyNumberFormat="1" applyFont="1" applyFill="1" applyBorder="1" applyAlignment="1">
      <x:alignment horizontal="general" vertical="bottom" wrapText="0"/>
    </x:xf>
    <x:xf numFmtId="165" fontId="19" fillId="7" borderId="0" xfId="0" applyNumberFormat="1" applyFont="1" applyFill="1" applyBorder="1" applyAlignment="1">
      <x:alignment horizontal="right" vertical="center" wrapText="0"/>
    </x:xf>
    <x:xf numFmtId="164" fontId="17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201" fontId="8" fillId="7" borderId="0" xfId="0" applyNumberFormat="1" applyFont="1" applyFill="1" applyBorder="1" applyAlignment="1">
      <x:alignment horizontal="general" vertical="bottom" wrapText="0"/>
    </x:xf>
    <x:xf numFmtId="201" fontId="11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1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left" vertical="center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center" wrapText="1"/>
    </x:xf>
    <x:xf numFmtId="164" fontId="33" fillId="7" borderId="0" xfId="0" applyNumberFormat="1" applyFont="1" applyFill="1" applyBorder="1" applyAlignment="1">
      <x:alignment horizontal="general" vertical="bottom" wrapText="0"/>
    </x:xf>
    <x:xf numFmtId="164" fontId="29" fillId="7" borderId="0" xfId="0" applyNumberFormat="1" applyFont="1" applyFill="1" applyBorder="1" applyAlignment="1">
      <x:alignment horizontal="left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8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right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4">
    <x:dxf>
      <x:font>
        <x:b/>
        <x:color rgb="FF9C0006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9a1d7f93d4a32" /><Relationship Type="http://schemas.openxmlformats.org/officeDocument/2006/relationships/theme" Target="/xl/theme/theme1.xml" Id="R6d910758438448bd" /><Relationship Type="http://schemas.openxmlformats.org/officeDocument/2006/relationships/sharedStrings" Target="/xl/sharedStrings.xml" Id="Ra1d18c00329a4573" /><Relationship Type="http://schemas.openxmlformats.org/officeDocument/2006/relationships/worksheet" Target="/xl/worksheets/sheet1.xml" Id="Rb1428a060c49404d" /><Relationship Type="http://schemas.openxmlformats.org/officeDocument/2006/relationships/worksheet" Target="/xl/worksheets/sheet2.xml" Id="Rf5f2440554804337" /><Relationship Type="http://schemas.openxmlformats.org/officeDocument/2006/relationships/worksheet" Target="/xl/worksheets/sheet3.xml" Id="R0b60410e1e89478e" /><Relationship Type="http://schemas.openxmlformats.org/officeDocument/2006/relationships/worksheet" Target="/xl/worksheets/sheet4.xml" Id="Re74778a1e3074d83" /><Relationship Type="http://schemas.openxmlformats.org/officeDocument/2006/relationships/worksheet" Target="/xl/worksheets/sheet5.xml" Id="R7f092ea2385b43f0" /><Relationship Type="http://schemas.openxmlformats.org/officeDocument/2006/relationships/worksheet" Target="/xl/worksheets/sheet6.xml" Id="Rcffa96d88a6049d5" /><Relationship Type="http://schemas.openxmlformats.org/officeDocument/2006/relationships/worksheet" Target="/xl/worksheets/sheet7.xml" Id="R64124471a05d46d4" /><Relationship Type="http://schemas.openxmlformats.org/officeDocument/2006/relationships/worksheet" Target="/xl/worksheets/sheet8.xml" Id="R57abec8b50bb4551" /><Relationship Type="http://schemas.openxmlformats.org/officeDocument/2006/relationships/worksheet" Target="/xl/worksheets/sheet9.xml" Id="R093fec6b9a694d48" /><Relationship Type="http://schemas.openxmlformats.org/officeDocument/2006/relationships/worksheet" Target="/xl/worksheets/sheet10.xml" Id="R58ec7ff7aef9495e" /><Relationship Type="http://schemas.openxmlformats.org/officeDocument/2006/relationships/worksheet" Target="/xl/worksheets/sheet11.xml" Id="Rd1457d29059a4e80" /><Relationship Type="http://schemas.openxmlformats.org/officeDocument/2006/relationships/worksheet" Target="/xl/worksheets/sheet12.xml" Id="Rfc5c223a4d5c4593" /><Relationship Type="http://schemas.openxmlformats.org/officeDocument/2006/relationships/worksheet" Target="/xl/worksheets/sheet13.xml" Id="Rd8bc4b940f854599" /><Relationship Type="http://schemas.openxmlformats.org/officeDocument/2006/relationships/worksheet" Target="/xl/worksheets/sheet14.xml" Id="R792a903994244505" /><Relationship Type="http://schemas.microsoft.com/office/2017/10/relationships/person" Target="/xl/persons/person.xml" Id="R4aace178e94e4d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028844d7b74fe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Value per share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23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028844d7b74fef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E4DCD371-EA61-4FF6-BF16-07E1DA6918CA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0" dT="2026-09-07T23:48:46.491" personId="{E4DCD371-EA61-4FF6-BF16-07E1DA6918CA}" id="{47BD8170-4B59-4FA5-AD77-41920BE343E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1" dT="2026-09-07T23:48:46.491" personId="{E4DCD371-EA61-4FF6-BF16-07E1DA6918CA}" id="{50FB6BEC-7D83-4C6E-A4D5-575AF548248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2" dT="2026-09-07T23:48:46.491" personId="{E4DCD371-EA61-4FF6-BF16-07E1DA6918CA}" id="{FBC272D3-BD9E-4D1F-9050-3D9A35D13522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6" dT="2026-09-07T23:48:46.491" personId="{E4DCD371-EA61-4FF6-BF16-07E1DA6918CA}" id="{2F2EE01F-477A-4CBA-A323-FB3160D3B48F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7" dT="2026-09-07T23:48:46.491" personId="{E4DCD371-EA61-4FF6-BF16-07E1DA6918CA}" id="{05F099B6-87C4-4F59-9F66-6DD3144CB77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8" dT="2026-09-07T23:48:46.492" personId="{E4DCD371-EA61-4FF6-BF16-07E1DA6918CA}" id="{168C6845-759D-45FE-B336-35C933CFA8F2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9" dT="2026-09-07T23:48:46.492" personId="{E4DCD371-EA61-4FF6-BF16-07E1DA6918CA}" id="{127FB266-AA66-42C6-85C8-F831B7A54AA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0" dT="2026-09-07T23:48:46.492" personId="{E4DCD371-EA61-4FF6-BF16-07E1DA6918CA}" id="{40ECAE3D-960A-4DBB-9CBD-210756378F56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1" dT="2026-09-07T23:48:46.492" personId="{E4DCD371-EA61-4FF6-BF16-07E1DA6918CA}" id="{0C8EAFDD-6886-4EC2-AFA1-FF3676CC601A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2" dT="2026-09-07T23:48:46.492" personId="{E4DCD371-EA61-4FF6-BF16-07E1DA6918CA}" id="{FD32451D-CAA0-47E2-9DB1-4116F9F112AF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3" dT="2026-09-07T23:48:46.492" personId="{E4DCD371-EA61-4FF6-BF16-07E1DA6918CA}" id="{1CF25E40-9646-4C83-B6EA-1E787539F5EE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4" dT="2026-09-07T23:48:46.492" personId="{E4DCD371-EA61-4FF6-BF16-07E1DA6918CA}" id="{197CDEF1-AA2F-4189-8B4F-7B8663F03953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5" dT="2026-09-07T23:48:46.492" personId="{E4DCD371-EA61-4FF6-BF16-07E1DA6918CA}" id="{037939B8-E665-4B76-B819-0BC89A4D642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6" dT="2026-09-07T23:48:46.492" personId="{E4DCD371-EA61-4FF6-BF16-07E1DA6918CA}" id="{C0D5816A-AB8D-4EB9-980F-D53D3F87CB8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4" dT="2026-09-07T23:48:46.492" personId="{E4DCD371-EA61-4FF6-BF16-07E1DA6918CA}" id="{0A52E63A-13C8-492D-A20B-A8043B4CA0E1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6" dT="2026-09-07T23:48:46.492" personId="{E4DCD371-EA61-4FF6-BF16-07E1DA6918CA}" id="{093F90C6-3773-47B9-9545-2F7B7A011833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7" dT="2026-09-07T23:48:46.492" personId="{E4DCD371-EA61-4FF6-BF16-07E1DA6918CA}" id="{CC4C4CD4-A07C-4D34-A316-7891E44AD706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9" dT="2026-09-07T23:48:46.492" personId="{E4DCD371-EA61-4FF6-BF16-07E1DA6918CA}" id="{610E482D-902F-4713-BEC7-90A3C7DD11B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0" dT="2026-09-07T23:48:46.492" personId="{E4DCD371-EA61-4FF6-BF16-07E1DA6918CA}" id="{4AF9E68B-DAAF-4FB2-B62C-9D1DC39478E0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2" dT="2026-09-07T23:48:46.492" personId="{E4DCD371-EA61-4FF6-BF16-07E1DA6918CA}" id="{1E82B950-6269-4A2F-9B37-88FE0632DB8D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3" dT="2026-09-07T23:48:46.492" personId="{E4DCD371-EA61-4FF6-BF16-07E1DA6918CA}" id="{28998DB4-C2F7-4217-9F79-7C0C92737878}">
    <xltc:text>Source: https://gapinc-prod-a6bndyfubmc5d9ey.z03.azurefd.net/gapmedia/gapcorporatesite/media/images/brand/gap-inc/q2-2026-epr-fs.pdf
Period: 2026-08-01; USD millions. Component aggregations are described beside the value.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239785edfc2453c" /><Relationship Type="http://schemas.openxmlformats.org/officeDocument/2006/relationships/vmlDrawing" Target="/xl/drawings/vmldrawing.vml" Id="Rb62fdc894bfc4a78" /><Relationship Type="http://schemas.openxmlformats.org/officeDocument/2006/relationships/drawing" Target="/xl/drawings/drawing1.xml" Id="R8d03832d2e374d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03cca24960d24417" /><Relationship Type="http://schemas.openxmlformats.org/officeDocument/2006/relationships/vmlDrawing" Target="/xl/drawings/vmldrawing2.vml" Id="R227788045b0d494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7b689ccd92f24372" /><Relationship Type="http://schemas.openxmlformats.org/officeDocument/2006/relationships/vmlDrawing" Target="/xl/drawings/vmldrawing3.vml" Id="Rce74aaa3f2f248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4.xml" Id="Rc61bcddbd63f4052" /><Relationship Type="http://schemas.openxmlformats.org/officeDocument/2006/relationships/vmlDrawing" Target="/xl/drawings/vmldrawing4.vml" Id="R5ccf33597e594d3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5.xml" Id="R8ada0be8ed19409e" /><Relationship Type="http://schemas.openxmlformats.org/officeDocument/2006/relationships/vmlDrawing" Target="/xl/drawings/vmldrawing5.vml" Id="R00c5c10a705f42e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comments" Target="/xl/comments6.xml" Id="Ra19a57d0438b4881" /><Relationship Type="http://schemas.openxmlformats.org/officeDocument/2006/relationships/vmlDrawing" Target="/xl/drawings/vmldrawing6.vml" Id="Raea9b7a1e4f4489d" /><Relationship Type="http://schemas.microsoft.com/office/2017/10/relationships/threadedComment" Target="/xl/threadedcomments/threadedcomment.xml" Id="Rdf275aabd0204b85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6" width="16" hidden="0" customWidth="1"/>
    <x:col min="7" max="7" width="17" hidden="0" customWidth="1"/>
    <x:col min="8" max="8" width="13" hidden="0" customWidth="1"/>
    <x:col min="4" max="4" width="17" hidden="0" customWidth="1"/>
    <x:col min="5" max="5" width="17" hidden="0" customWidth="1"/>
    <x:col min="6" max="6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GAP INC. | PRACTICAL VALUATION MODEL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MikeYe.com • Version 1.2.1 • November 2026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</x:row>
    <x:row r="4" ht="19" hidden="0" customHeight="1">
      <x:c r="A4" s="86"/>
      <x:c r="B4" s="109"/>
      <x:c r="C4" s="86"/>
      <x:c r="D4" s="86"/>
      <x:c r="E4" s="86"/>
      <x:c r="F4" s="86"/>
      <x:c r="G4" s="86"/>
      <x:c r="H4" s="86"/>
      <x:c r="I4" s="86"/>
      <x:c r="J4" s="86"/>
      <x:c r="K4" s="2"/>
      <x:c r="L4" s="2"/>
      <x:c r="M4" s="2"/>
      <x:c r="N4" s="2"/>
    </x:row>
    <x:row r="5" ht="19" hidden="0" customHeight="1">
      <x:c r="A5" s="86"/>
      <x:c r="B5" s="295" t="str">
        <x:v>Calculation status</x:v>
      </x:c>
      <x:c r="C5" s="315" t="str">
        <x:f>'Checks'!F34</x:f>
        <x:v>PASS</x:v>
      </x:c>
      <x:c r="D5" s="295"/>
      <x:c r="E5" s="295"/>
      <x:c r="F5" s="295"/>
      <x:c r="G5" s="295"/>
      <x:c r="H5" s="295"/>
      <x:c r="I5" s="86"/>
      <x:c r="J5" s="86"/>
      <x:c r="K5" s="2"/>
      <x:c r="L5" s="2"/>
      <x:c r="M5" s="2"/>
      <x:c r="N5" s="2"/>
    </x:row>
    <x:row r="6" ht="19" hidden="0" customHeight="1">
      <x:c r="A6" s="86"/>
      <x:c r="B6" s="295" t="str">
        <x:v>Model basis</x:v>
      </x:c>
      <x:c r="C6" s="315" t="str">
        <x:f>'Checks'!F46</x:f>
        <x:v>ASSUMPTION</x:v>
      </x:c>
      <x:c r="D6" s="295"/>
      <x:c r="E6" s="295"/>
      <x:c r="F6" s="295"/>
      <x:c r="G6" s="295"/>
      <x:c r="H6" s="295"/>
      <x:c r="I6" s="86"/>
      <x:c r="J6" s="86"/>
      <x:c r="K6" s="2"/>
      <x:c r="L6" s="2"/>
      <x:c r="M6" s="2"/>
      <x:c r="N6" s="2"/>
    </x:row>
    <x:row r="7" ht="19" hidden="0" customHeight="1">
      <x:c r="A7" s="86"/>
      <x:c r="B7" s="295"/>
      <x:c r="C7" s="295"/>
      <x:c r="D7" s="295"/>
      <x:c r="E7" s="295"/>
      <x:c r="F7" s="295"/>
      <x:c r="G7" s="295"/>
      <x:c r="H7" s="295"/>
      <x:c r="I7" s="86"/>
      <x:c r="J7" s="86"/>
      <x:c r="K7" s="2"/>
      <x:c r="L7" s="2"/>
      <x:c r="M7" s="2"/>
      <x:c r="N7" s="2"/>
    </x:row>
    <x:row r="8" ht="19" hidden="0" customHeight="1">
      <x:c r="A8" s="86"/>
      <x:c r="B8" s="86"/>
      <x:c r="C8" s="86"/>
      <x:c r="D8" s="86"/>
      <x:c r="E8" s="86"/>
      <x:c r="F8" s="86"/>
      <x:c r="G8" s="86"/>
      <x:c r="H8" s="86"/>
      <x:c r="I8" s="86"/>
      <x:c r="J8" s="86"/>
      <x:c r="K8" s="2"/>
      <x:c r="L8" s="2"/>
      <x:c r="M8" s="2"/>
      <x:c r="N8" s="2"/>
    </x:row>
    <x:row r="9" ht="19" hidden="0" customHeight="1">
      <x:c r="A9" s="86"/>
      <x:c r="B9" s="247" t="str">
        <x:v>Start with three questions: What cash earnings can I reproduce? What happens when revenue and margin both disappoint? What is the most I can pay without relying on my own future synergies?</x:v>
      </x:c>
      <x:c r="C9" s="105"/>
      <x:c r="D9" s="105"/>
      <x:c r="E9" s="105"/>
      <x:c r="F9" s="105"/>
      <x:c r="G9" s="105"/>
      <x:c r="H9" s="105"/>
      <x:c r="I9" s="105"/>
      <x:c r="J9" s="105"/>
      <x:c r="K9" s="2"/>
      <x:c r="L9" s="2"/>
      <x:c r="M9" s="2"/>
      <x:c r="N9" s="2"/>
    </x:row>
    <x:row r="10" ht="19" hidden="0" customHeight="1">
      <x:c r="A10" s="86"/>
      <x:c r="B10" s="247"/>
      <x:c r="C10" s="105"/>
      <x:c r="D10" s="105"/>
      <x:c r="E10" s="105"/>
      <x:c r="F10" s="105"/>
      <x:c r="G10" s="105"/>
      <x:c r="H10" s="105"/>
      <x:c r="I10" s="105"/>
      <x:c r="J10" s="105"/>
      <x:c r="K10" s="2"/>
      <x:c r="L10" s="2"/>
      <x:c r="M10" s="2"/>
      <x:c r="N10" s="2"/>
    </x:row>
    <x:row r="11" ht="19" hidden="0" customHeight="1">
      <x:c r="A11" s="86"/>
      <x:c r="B11" s="247"/>
      <x:c r="C11" s="105"/>
      <x:c r="D11" s="105"/>
      <x:c r="E11" s="105"/>
      <x:c r="F11" s="105"/>
      <x:c r="G11" s="105"/>
      <x:c r="H11" s="105"/>
      <x:c r="I11" s="105"/>
      <x:c r="J11" s="105"/>
      <x:c r="K11" s="2"/>
      <x:c r="L11" s="2"/>
      <x:c r="M11" s="2"/>
      <x:c r="N11" s="2"/>
    </x:row>
    <x:row r="12" ht="19" hidden="0" customHeight="1">
      <x:c r="A12" s="86"/>
      <x:c r="B12" s="109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  <x:c r="M12" s="2"/>
      <x:c r="N12" s="2"/>
    </x:row>
    <x:row r="13" ht="19" hidden="0" customHeight="1">
      <x:c r="A13" s="86"/>
      <x:c r="B13" s="86"/>
      <x:c r="C13" s="86"/>
      <x:c r="D13" s="86"/>
      <x:c r="E13" s="86"/>
      <x:c r="F13" s="86"/>
      <x:c r="G13" s="86"/>
      <x:c r="H13" s="86"/>
      <x:c r="I13" s="86"/>
      <x:c r="J13" s="86"/>
      <x:c r="K13" s="2"/>
      <x:c r="L13" s="2"/>
      <x:c r="M13" s="2"/>
      <x:c r="N13" s="2"/>
    </x:row>
    <x:row r="14" ht="19" hidden="0" customHeight="1">
      <x:c r="A14" s="86"/>
      <x:c r="B14" s="247" t="str">
        <x:v>1. Assumptions: choose Base, Upside or Downside. Change the blue inputs.</x:v>
      </x:c>
      <x:c r="C14" s="105"/>
      <x:c r="D14" s="105"/>
      <x:c r="E14" s="105"/>
      <x:c r="F14" s="105"/>
      <x:c r="G14" s="105"/>
      <x:c r="H14" s="105"/>
      <x:c r="I14" s="105"/>
      <x:c r="J14" s="105"/>
      <x:c r="K14" s="2"/>
      <x:c r="L14" s="2"/>
      <x:c r="M14" s="2"/>
      <x:c r="N14" s="2"/>
    </x:row>
    <x:row r="15" ht="19" hidden="0" customHeight="1">
      <x:c r="A15" s="86"/>
      <x:c r="B15" s="295"/>
      <x:c r="C15" s="295"/>
      <x:c r="D15" s="295"/>
      <x:c r="E15" s="295"/>
      <x:c r="F15" s="295"/>
      <x:c r="G15" s="295"/>
      <x:c r="H15" s="295"/>
      <x:c r="I15" s="105"/>
      <x:c r="J15" s="105"/>
      <x:c r="K15" s="2"/>
      <x:c r="L15" s="2"/>
      <x:c r="M15" s="2"/>
      <x:c r="N15" s="2"/>
    </x:row>
    <x:row r="16" ht="19" hidden="0" customHeight="1">
      <x:c r="A16" s="86"/>
      <x:c r="B16" s="310"/>
      <x:c r="C16" s="310"/>
      <x:c r="D16" s="310"/>
      <x:c r="E16" s="310"/>
      <x:c r="F16" s="310"/>
      <x:c r="G16" s="310"/>
      <x:c r="H16" s="310"/>
      <x:c r="I16" s="86"/>
      <x:c r="J16" s="86"/>
      <x:c r="K16" s="2"/>
      <x:c r="L16" s="2"/>
      <x:c r="M16" s="2"/>
      <x:c r="N16" s="2"/>
    </x:row>
    <x:row r="17" ht="19" hidden="0" customHeight="1">
      <x:c r="A17" s="86"/>
      <x:c r="B17" s="295" t="str">
        <x:v>2. Valuation Summary: compare DCF, selected trading multiples and the buyer price ceiling.</x:v>
      </x:c>
      <x:c r="C17" s="295"/>
      <x:c r="D17" s="295"/>
      <x:c r="E17" s="295"/>
      <x:c r="F17" s="295"/>
      <x:c r="G17" s="295"/>
      <x:c r="H17" s="295"/>
      <x:c r="I17" s="105"/>
      <x:c r="J17" s="105"/>
      <x:c r="K17" s="2"/>
      <x:c r="L17" s="2"/>
      <x:c r="M17" s="2"/>
      <x:c r="N17" s="2"/>
    </x:row>
    <x:row r="18" ht="19" hidden="0" customHeight="1">
      <x:c r="A18" s="86"/>
      <x:c r="B18" s="295"/>
      <x:c r="C18" s="295"/>
      <x:c r="D18" s="295"/>
      <x:c r="E18" s="295"/>
      <x:c r="F18" s="295"/>
      <x:c r="G18" s="295"/>
      <x:c r="H18" s="295"/>
      <x:c r="I18" s="105"/>
      <x:c r="J18" s="105"/>
      <x:c r="K18" s="2"/>
      <x:c r="L18" s="2"/>
      <x:c r="M18" s="2"/>
      <x:c r="N18" s="2"/>
    </x:row>
    <x:row r="19" ht="19" hidden="0" customHeight="1">
      <x:c r="A19" s="86"/>
      <x:c r="B19" s="310"/>
      <x:c r="C19" s="310"/>
      <x:c r="D19" s="310"/>
      <x:c r="E19" s="310"/>
      <x:c r="F19" s="310"/>
      <x:c r="G19" s="310"/>
      <x:c r="H19" s="310"/>
      <x:c r="I19" s="86"/>
      <x:c r="J19" s="86"/>
      <x:c r="K19" s="2"/>
      <x:c r="L19" s="2"/>
      <x:c r="M19" s="2"/>
      <x:c r="N19" s="2"/>
    </x:row>
    <x:row r="20" ht="19" hidden="0" customHeight="1">
      <x:c r="A20" s="86"/>
      <x:c r="B20" s="295" t="str">
        <x:v>3. Operating Forecast: trace cash, working capital, debt and shares. First column is H2, not a full year.</x:v>
      </x:c>
      <x:c r="C20" s="295"/>
      <x:c r="D20" s="295"/>
      <x:c r="E20" s="295"/>
      <x:c r="F20" s="295"/>
      <x:c r="G20" s="295"/>
      <x:c r="H20" s="295"/>
      <x:c r="I20" s="105"/>
      <x:c r="J20" s="105"/>
      <x:c r="K20" s="2"/>
      <x:c r="L20" s="2"/>
      <x:c r="M20" s="2"/>
      <x:c r="N20" s="2"/>
    </x:row>
    <x:row r="21" ht="19" hidden="0" customHeight="1">
      <x:c r="A21" s="86"/>
      <x:c r="B21" s="105"/>
      <x:c r="C21" s="105"/>
      <x:c r="D21" s="105"/>
      <x:c r="E21" s="105"/>
      <x:c r="F21" s="105"/>
      <x:c r="G21" s="105"/>
      <x:c r="H21" s="105"/>
      <x:c r="I21" s="105"/>
      <x:c r="J21" s="105"/>
      <x:c r="K21" s="2"/>
      <x:c r="L21" s="2"/>
      <x:c r="M21" s="2"/>
      <x:c r="N21" s="2"/>
    </x:row>
    <x:row r="22" ht="19" hidden="0" customHeight="1">
      <x:c r="A22" s="86"/>
      <x:c r="B22" s="109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  <x:c r="M22" s="2"/>
      <x:c r="N22" s="2"/>
    </x:row>
    <x:row r="23" ht="19" hidden="0" customHeight="1">
      <x:c r="A23" s="86"/>
      <x:c r="B23" s="247" t="str">
        <x:v>4. Checks: confirm the financial statements and valuation schedules tie.</x:v>
      </x:c>
      <x:c r="C23" s="105"/>
      <x:c r="D23" s="105"/>
      <x:c r="E23" s="105"/>
      <x:c r="F23" s="105"/>
      <x:c r="G23" s="105"/>
      <x:c r="H23" s="105"/>
      <x:c r="I23" s="105"/>
      <x:c r="J23" s="105"/>
      <x:c r="K23" s="2"/>
      <x:c r="L23" s="2"/>
      <x:c r="M23" s="2"/>
      <x:c r="N23" s="2"/>
    </x:row>
    <x:row r="24" ht="19" hidden="0" customHeight="1">
      <x:c r="A24" s="86"/>
      <x:c r="B24" s="247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  <x:c r="M24" s="2"/>
      <x:c r="N24" s="2"/>
    </x:row>
    <x:row r="25" ht="19" hidden="0" customHeight="1">
      <x:c r="A25" s="86"/>
      <x:c r="B25" s="109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  <x:c r="M25" s="2"/>
      <x:c r="N25" s="2"/>
    </x:row>
    <x:row r="26" ht="19" hidden="0" customHeight="1">
      <x:c r="A26" s="86"/>
      <x:c r="B26" s="247" t="str">
        <x:v>5. Verified Inputs and Sources &amp; Adjustments: find the source dates and key assumptions.</x:v>
      </x:c>
      <x:c r="C26" s="105"/>
      <x:c r="D26" s="105"/>
      <x:c r="E26" s="105"/>
      <x:c r="F26" s="105"/>
      <x:c r="G26" s="105"/>
      <x:c r="H26" s="105"/>
      <x:c r="I26" s="105"/>
      <x:c r="J26" s="105"/>
      <x:c r="K26" s="2"/>
      <x:c r="L26" s="2"/>
      <x:c r="M26" s="2"/>
      <x:c r="N26" s="2"/>
    </x:row>
    <x:row r="27" ht="19" hidden="0" customHeight="1">
      <x:c r="A27" s="86"/>
      <x:c r="B27" s="247"/>
      <x:c r="C27" s="105"/>
      <x:c r="D27" s="105"/>
      <x:c r="E27" s="105"/>
      <x:c r="F27" s="105"/>
      <x:c r="G27" s="105"/>
      <x:c r="H27" s="105"/>
      <x:c r="I27" s="105"/>
      <x:c r="J27" s="105"/>
      <x:c r="K27" s="2"/>
      <x:c r="L27" s="2"/>
      <x:c r="M27" s="2"/>
      <x:c r="N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  <x:c r="M28" s="2"/>
      <x:c r="N28" s="2"/>
    </x:row>
    <x:row r="29" ht="19" hidden="0" customHeight="1">
      <x:c r="A29" s="109"/>
      <x:c r="B29" s="109"/>
      <x:c r="C29" s="109"/>
      <x:c r="D29" s="109"/>
      <x:c r="E29" s="109"/>
      <x:c r="F29" s="109"/>
      <x:c r="G29" s="109"/>
      <x:c r="H29" s="109"/>
      <x:c r="I29" s="86"/>
      <x:c r="J29" s="86"/>
      <x:c r="K29" s="2"/>
      <x:c r="L29" s="2"/>
      <x:c r="M29" s="2"/>
      <x:c r="N29" s="2"/>
    </x:row>
    <x:row r="30" ht="19" hidden="0" customHeight="1">
      <x:c r="A30" s="86"/>
      <x:c r="B30" s="247" t="str">
        <x:v>Blue = editable input; green = link to another sheet; black = calculation or reported source value. Dollar figures are US$ millions except per share. The file is editable and requires no Capital IQ add-in, macro or external workbook.</x:v>
      </x:c>
      <x:c r="C30" s="105"/>
      <x:c r="D30" s="105"/>
      <x:c r="E30" s="105"/>
      <x:c r="F30" s="105"/>
      <x:c r="G30" s="105"/>
      <x:c r="H30" s="105"/>
      <x:c r="I30" s="105"/>
      <x:c r="J30" s="105"/>
      <x:c r="K30" s="2"/>
      <x:c r="L30" s="2"/>
      <x:c r="M30" s="2"/>
      <x:c r="N30" s="2"/>
    </x:row>
    <x:row r="31" ht="19" hidden="0" customHeight="1">
      <x:c r="A31" s="86"/>
      <x:c r="B31" s="247"/>
      <x:c r="C31" s="105"/>
      <x:c r="D31" s="105"/>
      <x:c r="E31" s="105"/>
      <x:c r="F31" s="105"/>
      <x:c r="G31" s="105"/>
      <x:c r="H31" s="105"/>
      <x:c r="I31" s="105"/>
      <x:c r="J31" s="105"/>
      <x:c r="K31" s="2"/>
      <x:c r="L31" s="2"/>
      <x:c r="M31" s="2"/>
      <x:c r="N31" s="2"/>
    </x:row>
    <x:row r="32" ht="19" hidden="0" customHeight="1">
      <x:c r="A32" s="86"/>
      <x:c r="B32" s="247"/>
      <x:c r="C32" s="105"/>
      <x:c r="D32" s="105"/>
      <x:c r="E32" s="105"/>
      <x:c r="F32" s="105"/>
      <x:c r="G32" s="105"/>
      <x:c r="H32" s="105"/>
      <x:c r="I32" s="105"/>
      <x:c r="J32" s="105"/>
      <x:c r="K32" s="2"/>
      <x:c r="L32" s="2"/>
      <x:c r="M32" s="2"/>
      <x:c r="N32" s="2"/>
    </x:row>
    <x:row r="33" ht="19" hidden="0" customHeight="1">
      <x:c r="A33" s="86"/>
      <x:c r="B33" s="109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  <x:c r="M33" s="2"/>
      <x:c r="N33" s="2"/>
    </x:row>
    <x:row r="34" ht="19" hidden="0" customHeight="1">
      <x:c r="A34" s="86"/>
      <x:c r="B34" s="109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  <x:c r="M34" s="2"/>
      <x:c r="N34" s="2"/>
    </x:row>
    <x:row r="35" ht="19" hidden="0" customHeight="1">
      <x:c r="A35" s="86"/>
      <x:c r="B35" s="247" t="str">
        <x:v>Key assumptions: balance-sheet date, diluted shares, peer multiples, cash-flow timing and refinancing. Change these inputs to test a different view.</x:v>
      </x:c>
      <x:c r="C35" s="105"/>
      <x:c r="D35" s="105"/>
      <x:c r="E35" s="105"/>
      <x:c r="F35" s="105"/>
      <x:c r="G35" s="105"/>
      <x:c r="H35" s="105"/>
      <x:c r="I35" s="105"/>
      <x:c r="J35" s="105"/>
      <x:c r="K35" s="2"/>
      <x:c r="L35" s="2"/>
      <x:c r="M35" s="2"/>
      <x:c r="N35" s="2"/>
    </x:row>
    <x:row r="36" ht="19" hidden="0" customHeight="1">
      <x:c r="A36" s="86"/>
      <x:c r="B36" s="247"/>
      <x:c r="C36" s="105"/>
      <x:c r="D36" s="105"/>
      <x:c r="E36" s="105"/>
      <x:c r="F36" s="105"/>
      <x:c r="G36" s="105"/>
      <x:c r="H36" s="105"/>
      <x:c r="I36" s="105"/>
      <x:c r="J36" s="105"/>
      <x:c r="K36" s="2"/>
      <x:c r="L36" s="2"/>
      <x:c r="M36" s="2"/>
      <x:c r="N36" s="2"/>
    </x:row>
    <x:row r="37" ht="19" hidden="0" customHeight="1">
      <x:c r="A37" s="86"/>
      <x:c r="B37" s="247"/>
      <x:c r="C37" s="105"/>
      <x:c r="D37" s="105"/>
      <x:c r="E37" s="105"/>
      <x:c r="F37" s="105"/>
      <x:c r="G37" s="105"/>
      <x:c r="H37" s="105"/>
      <x:c r="I37" s="105"/>
      <x:c r="J37" s="105"/>
      <x:c r="K37" s="2"/>
      <x:c r="L37" s="2"/>
      <x:c r="M37" s="2"/>
      <x:c r="N37" s="2"/>
    </x:row>
    <x:row r="38" ht="19" hidden="0" customHeight="1">
      <x:c r="A38" s="86"/>
      <x:c r="B38" s="109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  <x:c r="M38" s="2"/>
      <x:c r="N38" s="2"/>
    </x:row>
    <x:row r="39" ht="19" hidden="0" customHeight="1">
      <x:c r="A39" s="86"/>
      <x:c r="B39" s="109"/>
      <x:c r="C39" s="86"/>
      <x:c r="D39" s="86"/>
      <x:c r="E39" s="86"/>
      <x:c r="F39" s="86"/>
      <x:c r="G39" s="86"/>
      <x:c r="H39" s="86"/>
      <x:c r="I39" s="86"/>
      <x:c r="J39" s="86"/>
      <x:c r="K39" s="2"/>
      <x:c r="L39" s="2"/>
      <x:c r="M39" s="2"/>
      <x:c r="N39" s="2"/>
    </x:row>
    <x:row r="40" ht="19" hidden="0" customHeight="1">
      <x:c r="A40" s="86"/>
      <x:c r="B40" s="247" t="str">
        <x:v>Establish a price ceiling before negotiating. Test the downside and keep buyer-created synergies separate from standalone value.</x:v>
      </x:c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  <x:c r="M40" s="2"/>
      <x:c r="N40" s="2"/>
    </x:row>
    <x:row r="41" ht="19" hidden="0" customHeight="1">
      <x:c r="A41" s="86"/>
      <x:c r="B41" s="247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  <x:c r="M41" s="2"/>
      <x:c r="N41" s="2"/>
    </x:row>
    <x:row r="42" ht="19" hidden="0" customHeight="1">
      <x:c r="A42" s="86"/>
      <x:c r="B42" s="105"/>
      <x:c r="C42" s="105"/>
      <x:c r="D42" s="105"/>
      <x:c r="E42" s="105"/>
      <x:c r="F42" s="105"/>
      <x:c r="G42" s="105"/>
      <x:c r="H42" s="105"/>
      <x:c r="I42" s="105"/>
      <x:c r="J42" s="105"/>
      <x:c r="K42" s="2"/>
      <x:c r="L42" s="2"/>
      <x:c r="M42" s="2"/>
      <x:c r="N42" s="2"/>
    </x:row>
    <x:row r="43" ht="19" hidden="0" customHeight="1">
      <x:c r="A43" s="86"/>
      <x:c r="B43" s="132"/>
      <x:c r="C43" s="132"/>
      <x:c r="D43" s="132"/>
      <x:c r="E43" s="132"/>
      <x:c r="F43" s="132"/>
      <x:c r="G43" s="132"/>
      <x:c r="H43" s="132"/>
      <x:c r="I43" s="86"/>
      <x:c r="J43" s="86"/>
      <x:c r="K43" s="2"/>
      <x:c r="L43" s="2"/>
      <x:c r="M43" s="2"/>
      <x:c r="N43" s="2"/>
    </x:row>
    <x:row r="44" ht="19" hidden="0" customHeight="1">
      <x:c r="A44" s="86"/>
      <x:c r="B44" s="132"/>
      <x:c r="C44" s="132"/>
      <x:c r="D44" s="132"/>
      <x:c r="E44" s="132"/>
      <x:c r="F44" s="132"/>
      <x:c r="G44" s="132"/>
      <x:c r="H44" s="132"/>
      <x:c r="I44" s="86"/>
      <x:c r="J44" s="86"/>
      <x:c r="K44" s="2"/>
      <x:c r="L44" s="2"/>
      <x:c r="M44" s="2"/>
      <x:c r="N44" s="2"/>
    </x:row>
    <x:row r="45" ht="19" hidden="0" customHeight="1">
      <x:c r="A45" s="86"/>
      <x:c r="B45" s="132"/>
      <x:c r="C45" s="132"/>
      <x:c r="D45" s="132"/>
      <x:c r="E45" s="132"/>
      <x:c r="F45" s="132"/>
      <x:c r="G45" s="132"/>
      <x:c r="H45" s="132"/>
      <x:c r="I45" s="86"/>
      <x:c r="J45" s="86"/>
      <x:c r="K45" s="2"/>
      <x:c r="L45" s="2"/>
      <x:c r="M45" s="2"/>
      <x:c r="N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  <x:c r="M46" s="2"/>
      <x:c r="N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5"/>
    <x:mergeCell ref="B17:J18"/>
    <x:mergeCell ref="B20:J21"/>
    <x:mergeCell ref="B23:J24"/>
    <x:mergeCell ref="B26:J27"/>
    <x:mergeCell ref="B30:J32"/>
    <x:mergeCell ref="B35:J37"/>
    <x:mergeCell ref="B40:J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6" width="13" hidden="0" customWidth="1"/>
    <x:col min="14" max="1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VALUATION SUMMARY | WHAT THE CASE SUPPORTS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  <x:c r="O1" s="2"/>
      <x:c r="P1" s="2"/>
      <x:c r="Q1" s="2"/>
      <x:c r="R1" s="2"/>
    </x:row>
    <x:row r="2" ht="19" hidden="0" customHeight="1">
      <x:c r="A2" s="136" t="str">
        <x:v>DCF, selected trading multiples and buyer returns under the active scenario.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  <x:c r="O2" s="2"/>
      <x:c r="P2" s="2"/>
      <x:c r="Q2" s="2"/>
      <x:c r="R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  <x:c r="O3" s="2"/>
      <x:c r="P3" s="2"/>
      <x:c r="Q3" s="2"/>
      <x:c r="R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14"/>
      <x:c r="L4" s="14"/>
      <x:c r="M4" s="2"/>
      <x:c r="N4" s="6"/>
      <x:c r="O4" s="2"/>
      <x:c r="P4" s="2"/>
      <x:c r="Q4" s="2"/>
      <x:c r="R4" s="2"/>
    </x:row>
    <x:row r="5" ht="19" hidden="0" customHeight="1">
      <x:c r="A5" s="86"/>
      <x:c r="B5" s="109" t="str">
        <x:v>Active scenario</x:v>
      </x:c>
      <x:c r="C5" s="215" t="str">
        <x:f>'Assumptions'!C6</x:f>
        <x:v>BASE</x:v>
      </x:c>
      <x:c r="D5" s="112"/>
      <x:c r="E5" s="112"/>
      <x:c r="F5" s="86"/>
      <x:c r="G5" s="86"/>
      <x:c r="H5" s="86"/>
      <x:c r="I5" s="86"/>
      <x:c r="J5" s="86"/>
      <x:c r="K5" s="2"/>
      <x:c r="L5" s="2"/>
      <x:c r="M5" s="2"/>
      <x:c r="N5" s="6"/>
      <x:c r="O5" s="17"/>
      <x:c r="P5" s="17"/>
      <x:c r="Q5" s="2"/>
      <x:c r="R5" s="2"/>
    </x:row>
    <x:row r="6" ht="19" hidden="0" customHeight="1">
      <x:c r="A6" s="86"/>
      <x:c r="B6" s="86" t="str">
        <x:v>Calculation status</x:v>
      </x:c>
      <x:c r="C6" s="223" t="str">
        <x:f aca="0">'Checks'!F34</x:f>
        <x:v>PASS</x:v>
      </x:c>
      <x:c r="D6" s="185"/>
      <x:c r="E6" s="180"/>
      <x:c r="F6" s="86"/>
      <x:c r="G6" s="86"/>
      <x:c r="H6" s="86"/>
      <x:c r="I6" s="86"/>
      <x:c r="J6" s="86"/>
      <x:c r="K6" s="2"/>
      <x:c r="L6" s="2"/>
      <x:c r="M6" s="2"/>
      <x:c r="N6" s="7"/>
      <x:c r="O6" s="20"/>
      <x:c r="P6" s="20"/>
      <x:c r="Q6" s="2"/>
      <x:c r="R6" s="2"/>
    </x:row>
    <x:row r="7" ht="19" hidden="0" customHeight="1">
      <x:c r="A7" s="86"/>
      <x:c r="B7" s="86" t="str">
        <x:v>Model basis</x:v>
      </x:c>
      <x:c r="C7" s="223" t="str">
        <x:f aca="0">'Checks'!F46</x:f>
        <x:v>ASSUMPTION</x:v>
      </x:c>
      <x:c r="D7" s="185"/>
      <x:c r="E7" s="180"/>
      <x:c r="F7" s="86"/>
      <x:c r="G7" s="86"/>
      <x:c r="H7" s="86"/>
      <x:c r="I7" s="86"/>
      <x:c r="J7" s="86"/>
      <x:c r="K7" s="2"/>
      <x:c r="L7" s="2"/>
      <x:c r="M7" s="2"/>
      <x:c r="N7" s="7"/>
      <x:c r="O7" s="20"/>
      <x:c r="P7" s="20"/>
      <x:c r="Q7" s="2"/>
      <x:c r="R7" s="2"/>
    </x:row>
    <x:row r="8" ht="19" hidden="0" customHeight="1">
      <x:c r="A8" s="86"/>
      <x:c r="B8" s="86"/>
      <x:c r="C8" s="185"/>
      <x:c r="D8" s="185"/>
      <x:c r="E8" s="180"/>
      <x:c r="F8" s="86"/>
      <x:c r="G8" s="86"/>
      <x:c r="H8" s="86"/>
      <x:c r="I8" s="86"/>
      <x:c r="J8" s="86"/>
      <x:c r="K8" s="2"/>
      <x:c r="L8" s="2"/>
      <x:c r="M8" s="2"/>
      <x:c r="N8" s="7"/>
      <x:c r="O8" s="20"/>
      <x:c r="P8" s="20"/>
      <x:c r="Q8" s="2"/>
      <x:c r="R8" s="2"/>
    </x:row>
    <x:row r="9" ht="19" hidden="0" customHeight="1">
      <x:c r="A9" s="86"/>
      <x:c r="B9" s="86" t="str">
        <x:v>Method</x:v>
      </x:c>
      <x:c r="C9" s="185" t="str">
        <x:v>Low / point</x:v>
      </x:c>
      <x:c r="D9" s="185" t="str">
        <x:v>High / point</x:v>
      </x:c>
      <x:c r="E9" s="180"/>
      <x:c r="F9" s="86" t="str">
        <x:v>Lens</x:v>
      </x:c>
      <x:c r="G9" s="86" t="str">
        <x:v>Value / share</x:v>
      </x:c>
      <x:c r="H9" s="86"/>
      <x:c r="I9" s="86"/>
      <x:c r="J9" s="86"/>
      <x:c r="K9" s="2"/>
      <x:c r="L9" s="2"/>
      <x:c r="M9" s="2"/>
      <x:c r="N9" s="7"/>
      <x:c r="O9" s="20"/>
      <x:c r="P9" s="20"/>
      <x:c r="Q9" s="2"/>
      <x:c r="R9" s="2"/>
    </x:row>
    <x:row r="10" ht="19" hidden="0" customHeight="1">
      <x:c r="A10" s="86"/>
      <x:c r="B10" s="86" t="str">
        <x:v>DCF — perpetuity</x:v>
      </x:c>
      <x:c r="C10" s="256" t="n">
        <x:f aca="0">'DCF'!C53</x:f>
        <x:v>23.39825133291416</x:v>
      </x:c>
      <x:c r="D10" s="256" t="n">
        <x:f aca="0">'DCF'!C53</x:f>
        <x:v>23.39825133291416</x:v>
      </x:c>
      <x:c r="E10" s="180"/>
      <x:c r="F10" s="86" t="str">
        <x:v>DCF perpetuity</x:v>
      </x:c>
      <x:c r="G10" s="93" t="n">
        <x:f>C10</x:f>
        <x:v>23.39825133291416</x:v>
      </x:c>
      <x:c r="H10" s="86"/>
      <x:c r="I10" s="86"/>
      <x:c r="J10" s="86"/>
      <x:c r="K10" s="2"/>
      <x:c r="L10" s="2"/>
      <x:c r="M10" s="2"/>
      <x:c r="N10" s="7"/>
      <x:c r="O10" s="20"/>
      <x:c r="P10" s="20"/>
      <x:c r="Q10" s="2"/>
      <x:c r="R10" s="2"/>
    </x:row>
    <x:row r="11" ht="19" hidden="0" customHeight="1">
      <x:c r="A11" s="86"/>
      <x:c r="B11" s="86" t="str">
        <x:v>DCF — exit cross-check</x:v>
      </x:c>
      <x:c r="C11" s="256" t="n">
        <x:f>'DCF'!D53</x:f>
        <x:v>29.53385389130594</x:v>
      </x:c>
      <x:c r="D11" s="256" t="n">
        <x:f>'DCF'!D53</x:f>
        <x:v>29.53385389130594</x:v>
      </x:c>
      <x:c r="E11" s="185"/>
      <x:c r="F11" s="86" t="str">
        <x:v>DCF exit</x:v>
      </x:c>
      <x:c r="G11" s="93" t="n">
        <x:f>C11</x:f>
        <x:v>29.53385389130594</x:v>
      </x:c>
      <x:c r="H11" s="86"/>
      <x:c r="I11" s="86"/>
      <x:c r="J11" s="86"/>
      <x:c r="K11" s="2"/>
      <x:c r="L11" s="2"/>
      <x:c r="M11" s="2"/>
      <x:c r="N11" s="2"/>
      <x:c r="O11" s="2"/>
      <x:c r="P11" s="2"/>
      <x:c r="Q11" s="2"/>
      <x:c r="R11" s="2"/>
    </x:row>
    <x:row r="12" ht="19" hidden="0" customHeight="1">
      <x:c r="A12" s="86"/>
      <x:c r="B12" s="86" t="str">
        <x:v>EV / EBITDA</x:v>
      </x:c>
      <x:c r="C12" s="259" t="n">
        <x:f>'Trading Comps'!C27</x:f>
        <x:v>31.250389951657453</x:v>
      </x:c>
      <x:c r="D12" s="259" t="n">
        <x:f>'Trading Comps'!D27</x:f>
        <x:v>40.44770500690608</x:v>
      </x:c>
      <x:c r="E12" s="86"/>
      <x:c r="F12" s="86" t="str">
        <x:v>EBITDA midpoint</x:v>
      </x:c>
      <x:c r="G12" s="93" t="n">
        <x:f>(C12+D12)/2</x:f>
        <x:v>35.849047479281765</x:v>
      </x:c>
      <x:c r="H12" s="86"/>
      <x:c r="I12" s="86"/>
      <x:c r="J12" s="86"/>
      <x:c r="K12" s="2"/>
      <x:c r="L12" s="2"/>
      <x:c r="M12" s="2"/>
      <x:c r="N12" s="2"/>
      <x:c r="O12" s="2"/>
      <x:c r="P12" s="2"/>
      <x:c r="Q12" s="2"/>
      <x:c r="R12" s="2"/>
    </x:row>
    <x:row r="13" ht="19" hidden="0" customHeight="1">
      <x:c r="A13" s="86"/>
      <x:c r="B13" s="109" t="str">
        <x:v>EV / sales</x:v>
      </x:c>
      <x:c r="C13" s="237" t="n">
        <x:f aca="0">'Trading Comps'!C34</x:f>
        <x:v>18.293922651933702</x:v>
      </x:c>
      <x:c r="D13" s="259" t="n">
        <x:f>'Trading Comps'!D34</x:f>
        <x:v>30.99502762430939</x:v>
      </x:c>
      <x:c r="E13" s="86"/>
      <x:c r="F13" s="86" t="str">
        <x:v>Buyer ceiling</x:v>
      </x:c>
      <x:c r="G13" s="93" t="n">
        <x:f>C15</x:f>
        <x:v>28.337719625113046</x:v>
      </x:c>
      <x:c r="H13" s="86"/>
      <x:c r="I13" s="86"/>
      <x:c r="J13" s="86"/>
      <x:c r="K13" s="2"/>
      <x:c r="L13" s="2"/>
      <x:c r="M13" s="2"/>
      <x:c r="N13" s="2"/>
      <x:c r="O13" s="2"/>
      <x:c r="P13" s="2"/>
      <x:c r="Q13" s="2"/>
      <x:c r="R13" s="2"/>
    </x:row>
    <x:row r="14" ht="19" hidden="0" customHeight="1">
      <x:c r="A14" s="86"/>
      <x:c r="B14" s="86"/>
      <x:c r="C14" s="86"/>
      <x:c r="D14" s="86"/>
      <x:c r="E14" s="86"/>
      <x:c r="F14" s="86" t="str">
        <x:v>Share price</x:v>
      </x:c>
      <x:c r="G14" s="93" t="n">
        <x:f>C17</x:f>
        <x:v>22.43</x:v>
      </x:c>
      <x:c r="H14" s="86"/>
      <x:c r="I14" s="86"/>
      <x:c r="J14" s="86"/>
      <x:c r="K14" s="2"/>
      <x:c r="L14" s="2"/>
      <x:c r="M14" s="2"/>
      <x:c r="N14" s="2"/>
      <x:c r="O14" s="2"/>
      <x:c r="P14" s="2"/>
      <x:c r="Q14" s="2"/>
      <x:c r="R14" s="2"/>
    </x:row>
    <x:row r="15" ht="19" hidden="0" customHeight="1">
      <x:c r="A15" s="109"/>
      <x:c r="B15" s="109" t="str">
        <x:v>Buyer affordability ceiling</x:v>
      </x:c>
      <x:c r="C15" s="307" t="n">
        <x:f>'Acquisition Returns'!C49</x:f>
        <x:v>28.337719625113046</x:v>
      </x:c>
      <x:c r="D15" s="109"/>
      <x:c r="E15" s="109"/>
      <x:c r="F15" s="109"/>
      <x:c r="G15" s="109"/>
      <x:c r="H15" s="109"/>
      <x:c r="I15" s="109"/>
      <x:c r="J15" s="109"/>
      <x:c r="K15" s="14"/>
      <x:c r="L15" s="14"/>
      <x:c r="M15" s="2"/>
      <x:c r="N15" s="2"/>
      <x:c r="O15" s="2"/>
      <x:c r="P15" s="2"/>
      <x:c r="Q15" s="2"/>
      <x:c r="R15" s="2"/>
    </x:row>
    <x:row r="16" ht="19" hidden="0" customHeight="1">
      <x:c r="A16" s="86"/>
      <x:c r="B16" s="109" t="str">
        <x:v>Assumed offer price</x:v>
      </x:c>
      <x:c r="C16" s="237" t="n">
        <x:f>'Acquisition Returns'!C6</x:f>
        <x:v>28.0375</x:v>
      </x:c>
      <x:c r="D16" s="112"/>
      <x:c r="E16" s="112"/>
      <x:c r="F16" s="86"/>
      <x:c r="G16" s="86"/>
      <x:c r="H16" s="86"/>
      <x:c r="I16" s="86"/>
      <x:c r="J16" s="86"/>
      <x:c r="K16" s="2"/>
      <x:c r="L16" s="2"/>
      <x:c r="M16" s="2"/>
      <x:c r="N16" s="2"/>
      <x:c r="O16" s="2"/>
      <x:c r="P16" s="2"/>
      <x:c r="Q16" s="2"/>
      <x:c r="R16" s="2"/>
    </x:row>
    <x:row r="17" ht="19" hidden="0" customHeight="1">
      <x:c r="A17" s="86"/>
      <x:c r="B17" s="86" t="str">
        <x:v>Share-price snapshot</x:v>
      </x:c>
      <x:c r="C17" s="256" t="n">
        <x:f aca="0">'Verified Inputs'!$C$7</x:f>
        <x:v>22.43</x:v>
      </x:c>
      <x:c r="D17" s="127"/>
      <x:c r="E17" s="127"/>
      <x:c r="F17" s="86"/>
      <x:c r="G17" s="86"/>
      <x:c r="H17" s="86"/>
      <x:c r="I17" s="86"/>
      <x:c r="J17" s="86"/>
      <x:c r="K17" s="2"/>
      <x:c r="L17" s="2"/>
      <x:c r="M17" s="2"/>
      <x:c r="N17" s="2"/>
      <x:c r="O17" s="2"/>
      <x:c r="P17" s="2"/>
      <x:c r="Q17" s="2"/>
      <x:c r="R17" s="2"/>
    </x:row>
    <x:row r="18" ht="19" hidden="0" customHeight="1">
      <x:c r="A18" s="86"/>
      <x:c r="B18" s="86"/>
      <x:c r="C18" s="127"/>
      <x:c r="D18" s="127"/>
      <x:c r="E18" s="127"/>
      <x:c r="F18" s="86"/>
      <x:c r="G18" s="86"/>
      <x:c r="H18" s="86"/>
      <x:c r="I18" s="86"/>
      <x:c r="J18" s="86"/>
      <x:c r="K18" s="2"/>
      <x:c r="L18" s="2"/>
      <x:c r="M18" s="2"/>
      <x:c r="N18" s="2"/>
      <x:c r="O18" s="2"/>
      <x:c r="P18" s="2"/>
      <x:c r="Q18" s="2"/>
      <x:c r="R18" s="2"/>
    </x:row>
    <x:row r="19" ht="19" hidden="0" customHeight="1">
      <x:c r="A19" s="86"/>
      <x:c r="B19" s="86" t="str">
        <x:v>DCF enterprise value</x:v>
      </x:c>
      <x:c r="C19" s="196" t="n">
        <x:f aca="0">'DCF'!C35</x:f>
        <x:v>7978.166982514926</x:v>
      </x:c>
      <x:c r="D19" s="185"/>
      <x:c r="E19" s="185"/>
      <x:c r="F19" s="86"/>
      <x:c r="G19" s="86"/>
      <x:c r="H19" s="86"/>
      <x:c r="I19" s="86"/>
      <x:c r="J19" s="86"/>
      <x:c r="K19" s="2"/>
      <x:c r="L19" s="2"/>
      <x:c r="M19" s="2"/>
      <x:c r="N19" s="2"/>
      <x:c r="O19" s="2"/>
      <x:c r="P19" s="2"/>
      <x:c r="Q19" s="2"/>
      <x:c r="R19" s="2"/>
    </x:row>
    <x:row r="20" ht="19" hidden="0" customHeight="1">
      <x:c r="A20" s="86"/>
      <x:c r="B20" s="86" t="str">
        <x:v>DCF equity value</x:v>
      </x:c>
      <x:c r="C20" s="104" t="n">
        <x:f>'DCF'!C51</x:f>
        <x:v>8470.166982514926</x:v>
      </x:c>
      <x:c r="D20" s="86"/>
      <x:c r="E20" s="86"/>
      <x:c r="F20" s="86"/>
      <x:c r="G20" s="86"/>
      <x:c r="H20" s="86"/>
      <x:c r="I20" s="86"/>
      <x:c r="J20" s="86"/>
      <x:c r="K20" s="2"/>
      <x:c r="L20" s="2"/>
      <x:c r="M20" s="2"/>
      <x:c r="N20" s="2"/>
      <x:c r="O20" s="2"/>
      <x:c r="P20" s="2"/>
      <x:c r="Q20" s="2"/>
      <x:c r="R20" s="2"/>
    </x:row>
    <x:row r="21" ht="19" hidden="0" customHeight="1">
      <x:c r="A21" s="86"/>
      <x:c r="B21" s="86" t="str">
        <x:v>Buyer return at tested offer</x:v>
      </x:c>
      <x:c r="C21" s="227" t="n">
        <x:f>'Acquisition Returns'!C42</x:f>
        <x:v>0.2074108391040821</x:v>
      </x:c>
      <x:c r="D21" s="86"/>
      <x:c r="E21" s="86"/>
      <x:c r="F21" s="86"/>
      <x:c r="G21" s="86"/>
      <x:c r="H21" s="86"/>
      <x:c r="I21" s="86"/>
      <x:c r="J21" s="86"/>
      <x:c r="K21" s="2"/>
      <x:c r="L21" s="2"/>
      <x:c r="M21" s="2"/>
      <x:c r="N21" s="2"/>
      <x:c r="O21" s="2"/>
      <x:c r="P21" s="2"/>
      <x:c r="Q21" s="2"/>
      <x:c r="R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  <x:c r="M22" s="2"/>
      <x:c r="N22" s="2"/>
      <x:c r="O22" s="2"/>
      <x:c r="P22" s="2"/>
      <x:c r="Q22" s="2"/>
      <x:c r="R22" s="2"/>
    </x:row>
    <x:row r="23" ht="19" hidden="0" customHeight="1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  <x:c r="K23" s="2"/>
      <x:c r="L23" s="2"/>
      <x:c r="M23" s="2"/>
      <x:c r="N23" s="2"/>
      <x:c r="O23" s="2"/>
      <x:c r="P23" s="2"/>
      <x:c r="Q23" s="2"/>
      <x:c r="R23" s="2"/>
    </x:row>
    <x:row r="24" ht="19" hidden="0" customHeight="1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  <x:c r="M24" s="2"/>
      <x:c r="N24" s="2"/>
      <x:c r="O24" s="2"/>
      <x:c r="P24" s="2"/>
      <x:c r="Q24" s="2"/>
      <x:c r="R24" s="2"/>
    </x:row>
    <x:row r="25" ht="19" hidden="0" customHeight="1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  <x:c r="M25" s="2"/>
      <x:c r="N25" s="2"/>
      <x:c r="O25" s="2"/>
      <x:c r="P25" s="2"/>
      <x:c r="Q25" s="2"/>
      <x:c r="R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  <x:c r="M26" s="2"/>
      <x:c r="N26" s="2"/>
      <x:c r="O26" s="2"/>
      <x:c r="P26" s="2"/>
      <x:c r="Q26" s="2"/>
      <x:c r="R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  <x:c r="M27" s="2"/>
      <x:c r="N27" s="2"/>
      <x:c r="O27" s="2"/>
      <x:c r="P27" s="2"/>
      <x:c r="Q27" s="2"/>
      <x:c r="R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  <x:c r="M28" s="2"/>
      <x:c r="N28" s="2"/>
      <x:c r="O28" s="2"/>
      <x:c r="P28" s="2"/>
      <x:c r="Q28" s="2"/>
      <x:c r="R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  <x:c r="M29" s="2"/>
      <x:c r="N29" s="2"/>
      <x:c r="O29" s="2"/>
      <x:c r="P29" s="2"/>
      <x:c r="Q29" s="2"/>
      <x:c r="R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  <x:c r="M30" s="2"/>
      <x:c r="N30" s="2"/>
      <x:c r="O30" s="2"/>
      <x:c r="P30" s="2"/>
      <x:c r="Q30" s="2"/>
      <x:c r="R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  <x:c r="M31" s="2"/>
      <x:c r="N31" s="2"/>
      <x:c r="O31" s="2"/>
      <x:c r="P31" s="2"/>
      <x:c r="Q31" s="2"/>
      <x:c r="R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  <x:c r="M32" s="2"/>
      <x:c r="N32" s="2"/>
      <x:c r="O32" s="2"/>
      <x:c r="P32" s="2"/>
      <x:c r="Q32" s="2"/>
      <x:c r="R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  <x:c r="M33" s="2"/>
      <x:c r="N33" s="2"/>
      <x:c r="O33" s="2"/>
      <x:c r="P33" s="2"/>
      <x:c r="Q33" s="2"/>
      <x:c r="R33" s="2"/>
    </x:row>
    <x:row r="34" ht="19" hidden="0" customHeight="1">
      <x:c r="A34" s="86"/>
      <x:c r="B34" s="86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  <x:c r="M34" s="2"/>
      <x:c r="N34" s="2"/>
      <x:c r="O34" s="2"/>
      <x:c r="P34" s="2"/>
      <x:c r="Q34" s="2"/>
      <x:c r="R34" s="2"/>
    </x:row>
    <x:row r="35" ht="19" hidden="0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  <x:c r="K35" s="2"/>
      <x:c r="L35" s="2"/>
      <x:c r="M35" s="2"/>
      <x:c r="N35" s="2"/>
      <x:c r="O35" s="2"/>
      <x:c r="P35" s="2"/>
      <x:c r="Q35" s="2"/>
      <x:c r="R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  <x:c r="M36" s="2"/>
      <x:c r="N36" s="2"/>
      <x:c r="O36" s="2"/>
      <x:c r="P36" s="2"/>
      <x:c r="Q36" s="2"/>
      <x:c r="R36" s="2"/>
    </x:row>
    <x:row r="37" ht="19" hidden="0" customHeight="1">
      <x:c r="A37" s="86"/>
      <x:c r="B37" s="86"/>
      <x:c r="C37" s="86"/>
      <x:c r="D37" s="86"/>
      <x:c r="E37" s="86"/>
      <x:c r="F37" s="86"/>
      <x:c r="G37" s="86"/>
      <x:c r="H37" s="86"/>
      <x:c r="I37" s="86"/>
      <x:c r="J37" s="86"/>
      <x:c r="K37" s="2"/>
      <x:c r="L37" s="2"/>
      <x:c r="M37" s="2"/>
      <x:c r="N37" s="2"/>
      <x:c r="O37" s="2"/>
      <x:c r="P37" s="2"/>
      <x:c r="Q37" s="2"/>
      <x:c r="R37" s="2"/>
    </x:row>
    <x:row r="38" ht="19" hidden="0" customHeight="1">
      <x:c r="A38" s="86"/>
      <x:c r="B38" s="295"/>
      <x:c r="C38" s="295"/>
      <x:c r="D38" s="295"/>
      <x:c r="E38" s="295"/>
      <x:c r="F38" s="295"/>
      <x:c r="G38" s="86"/>
      <x:c r="H38" s="86"/>
      <x:c r="I38" s="86"/>
      <x:c r="J38" s="86"/>
      <x:c r="K38" s="2"/>
      <x:c r="L38" s="2"/>
      <x:c r="M38" s="2"/>
      <x:c r="N38" s="2"/>
      <x:c r="O38" s="2"/>
      <x:c r="P38" s="2"/>
      <x:c r="Q38" s="2"/>
      <x:c r="R38" s="2"/>
    </x:row>
    <x:row r="39" ht="19" hidden="0" customHeight="1">
      <x:c r="A39" s="86"/>
      <x:c r="B39" s="295"/>
      <x:c r="C39" s="295"/>
      <x:c r="D39" s="295"/>
      <x:c r="E39" s="295"/>
      <x:c r="F39" s="295"/>
      <x:c r="G39" s="86"/>
      <x:c r="H39" s="86"/>
      <x:c r="I39" s="86"/>
      <x:c r="J39" s="86"/>
      <x:c r="K39" s="2"/>
      <x:c r="L39" s="2"/>
      <x:c r="M39" s="2"/>
      <x:c r="N39" s="2"/>
      <x:c r="O39" s="2"/>
      <x:c r="P39" s="2"/>
      <x:c r="Q39" s="2"/>
      <x:c r="R39" s="2"/>
    </x:row>
    <x:row r="40" ht="19" hidden="0" customHeight="1">
      <x:c r="A40" s="86"/>
      <x:c r="B40" s="295"/>
      <x:c r="C40" s="295"/>
      <x:c r="D40" s="295"/>
      <x:c r="E40" s="295"/>
      <x:c r="F40" s="295"/>
      <x:c r="G40" s="86"/>
      <x:c r="H40" s="86"/>
      <x:c r="I40" s="86"/>
      <x:c r="J40" s="86"/>
      <x:c r="K40" s="2"/>
      <x:c r="L40" s="2"/>
      <x:c r="M40" s="2"/>
      <x:c r="N40" s="2"/>
      <x:c r="O40" s="2"/>
      <x:c r="P40" s="2"/>
      <x:c r="Q40" s="2"/>
      <x:c r="R40" s="2"/>
    </x:row>
    <x:row r="41" ht="19" hidden="0" customHeight="1">
      <x:c r="A41" s="86"/>
      <x:c r="B41" s="295" t="str">
        <x:v>Read the business before the price: test whether brand demand and inventory turn support the margin. Reconstruct markdowns, occupancy costs and working capital before treating a low multiple as a bargain.</x:v>
      </x:c>
      <x:c r="C41" s="295"/>
      <x:c r="D41" s="295"/>
      <x:c r="E41" s="295"/>
      <x:c r="F41" s="295"/>
      <x:c r="G41" s="105"/>
      <x:c r="H41" s="105"/>
      <x:c r="I41" s="105"/>
      <x:c r="J41" s="105"/>
      <x:c r="K41" s="2"/>
      <x:c r="L41" s="2"/>
      <x:c r="M41" s="2"/>
      <x:c r="N41" s="2"/>
      <x:c r="O41" s="2"/>
      <x:c r="P41" s="2"/>
      <x:c r="Q41" s="2"/>
      <x:c r="R41" s="2"/>
    </x:row>
    <x:row r="42" ht="19" hidden="0" customHeight="1">
      <x:c r="A42" s="86"/>
      <x:c r="B42" s="295"/>
      <x:c r="C42" s="295"/>
      <x:c r="D42" s="295"/>
      <x:c r="E42" s="295"/>
      <x:c r="F42" s="295"/>
      <x:c r="G42" s="105"/>
      <x:c r="H42" s="105"/>
      <x:c r="I42" s="105"/>
      <x:c r="J42" s="105"/>
      <x:c r="K42" s="2"/>
      <x:c r="L42" s="2"/>
      <x:c r="M42" s="2"/>
      <x:c r="N42" s="2"/>
      <x:c r="O42" s="2"/>
      <x:c r="P42" s="2"/>
      <x:c r="Q42" s="2"/>
      <x:c r="R42" s="2"/>
    </x:row>
    <x:row r="43" ht="19" hidden="0" customHeight="1">
      <x:c r="A43" s="86"/>
      <x:c r="B43" s="132"/>
      <x:c r="C43" s="132"/>
      <x:c r="D43" s="132"/>
      <x:c r="E43" s="132"/>
      <x:c r="F43" s="132"/>
      <x:c r="G43" s="105"/>
      <x:c r="H43" s="105"/>
      <x:c r="I43" s="105"/>
      <x:c r="J43" s="105"/>
      <x:c r="K43" s="2"/>
      <x:c r="L43" s="2"/>
      <x:c r="M43" s="2"/>
      <x:c r="N43" s="2"/>
      <x:c r="O43" s="2"/>
      <x:c r="P43" s="2"/>
      <x:c r="Q43" s="2"/>
      <x:c r="R43" s="2"/>
    </x:row>
    <x:row r="44" ht="19" hidden="0" customHeight="1">
      <x:c r="A44" s="86"/>
      <x:c r="B44" s="132"/>
      <x:c r="C44" s="132"/>
      <x:c r="D44" s="132"/>
      <x:c r="E44" s="132"/>
      <x:c r="F44" s="132"/>
      <x:c r="G44" s="86"/>
      <x:c r="H44" s="86"/>
      <x:c r="I44" s="86"/>
      <x:c r="J44" s="86"/>
      <x:c r="K44" s="2"/>
      <x:c r="L44" s="2"/>
      <x:c r="M44" s="2"/>
      <x:c r="N44" s="2"/>
      <x:c r="O44" s="2"/>
      <x:c r="P44" s="2"/>
      <x:c r="Q44" s="2"/>
      <x:c r="R44" s="2"/>
    </x:row>
    <x:row r="45" ht="19" hidden="0" customHeight="1">
      <x:c r="A45" s="86"/>
      <x:c r="B45" s="132" t="str">
        <x:v>Keep the seller’s standalone value separate from what your team might create. A buyer ceiling answers what can be financed at the hurdle; it does not prove what should be paid. Review the downside case before advancing.</x:v>
      </x:c>
      <x:c r="C45" s="132"/>
      <x:c r="D45" s="132"/>
      <x:c r="E45" s="132"/>
      <x:c r="F45" s="132"/>
      <x:c r="G45" s="105"/>
      <x:c r="H45" s="105"/>
      <x:c r="I45" s="105"/>
      <x:c r="J45" s="105"/>
      <x:c r="K45" s="2"/>
      <x:c r="L45" s="2"/>
      <x:c r="M45" s="2"/>
      <x:c r="N45" s="2"/>
      <x:c r="O45" s="2"/>
      <x:c r="P45" s="2"/>
      <x:c r="Q45" s="2"/>
      <x:c r="R45" s="2"/>
    </x:row>
    <x:row r="46" ht="19" hidden="0" customHeight="1">
      <x:c r="A46" s="86"/>
      <x:c r="B46" s="132"/>
      <x:c r="C46" s="132"/>
      <x:c r="D46" s="132"/>
      <x:c r="E46" s="132"/>
      <x:c r="F46" s="132"/>
      <x:c r="G46" s="105"/>
      <x:c r="H46" s="105"/>
      <x:c r="I46" s="105"/>
      <x:c r="J46" s="105"/>
      <x:c r="K46" s="2"/>
      <x:c r="L46" s="2"/>
      <x:c r="M46" s="2"/>
      <x:c r="N46" s="2"/>
      <x:c r="O46" s="2"/>
      <x:c r="P46" s="2"/>
      <x:c r="Q46" s="2"/>
      <x:c r="R46" s="2"/>
    </x:row>
    <x:row r="47" ht="19" hidden="0" customHeight="1">
      <x:c r="A47" s="86"/>
      <x:c r="B47" s="105"/>
      <x:c r="C47" s="105"/>
      <x:c r="D47" s="105"/>
      <x:c r="E47" s="105"/>
      <x:c r="F47" s="105"/>
      <x:c r="G47" s="105"/>
      <x:c r="H47" s="105"/>
      <x:c r="I47" s="105"/>
      <x:c r="J47" s="105"/>
      <x:c r="K47" s="2"/>
      <x:c r="L47" s="2"/>
      <x:c r="M47" s="2"/>
      <x:c r="N47" s="2"/>
      <x:c r="O47" s="2"/>
      <x:c r="P47" s="2"/>
      <x:c r="Q47" s="2"/>
      <x:c r="R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  <x:c r="M48" s="2"/>
      <x:c r="N48" s="2"/>
      <x:c r="O48" s="2"/>
      <x:c r="P48" s="2"/>
      <x:c r="Q48" s="2"/>
      <x:c r="R48" s="2"/>
    </x:row>
    <x:row r="49" ht="19" hidden="0" customHeight="1">
      <x:c r="A49" s="86"/>
      <x:c r="B49" s="86"/>
      <x:c r="C49" s="86"/>
      <x:c r="D49" s="86"/>
      <x:c r="E49" s="86"/>
      <x:c r="F49" s="86"/>
      <x:c r="G49" s="86"/>
      <x:c r="H49" s="86"/>
      <x:c r="I49" s="86"/>
      <x:c r="J49" s="86"/>
      <x:c r="K49" s="2"/>
      <x:c r="L49" s="2"/>
      <x:c r="M49" s="2"/>
      <x:c r="N49" s="2"/>
      <x:c r="O49" s="2"/>
      <x:c r="P49" s="2"/>
      <x:c r="Q49" s="2"/>
      <x:c r="R49" s="2"/>
    </x:row>
    <x:row r="50" ht="19" hidden="0" customHeight="1">
      <x:c r="A50" s="86"/>
      <x:c r="B50" s="86" t="str">
        <x:v>Decision at the selected assumptions</x:v>
      </x:c>
      <x:c r="C50" s="308" t="str">
        <x:f>IF('Checks'!F34="FAIL","STOP — resolve failed checks",IF(C16&gt;C15,"REPRICE — offer exceeds buyer ceiling","INVESTIGATE — offer within modeled ceiling"))</x:f>
        <x:v>INVESTIGATE — offer within modeled ceiling</x:v>
      </x:c>
      <x:c r="D50" s="92"/>
      <x:c r="E50" s="92"/>
      <x:c r="F50" s="92"/>
      <x:c r="G50" s="92"/>
      <x:c r="H50" s="92"/>
      <x:c r="I50" s="92"/>
      <x:c r="J50" s="92"/>
      <x:c r="K50" s="2"/>
      <x:c r="L50" s="2"/>
      <x:c r="M50" s="2"/>
      <x:c r="N50" s="2"/>
      <x:c r="O50" s="2"/>
      <x:c r="P50" s="2"/>
      <x:c r="Q50" s="2"/>
      <x:c r="R50" s="2"/>
    </x:row>
    <x:row r="51" ht="19" hidden="0" customHeight="1">
      <x:c r="A51" s="86"/>
      <x:c r="B51" s="86"/>
      <x:c r="C51" s="92"/>
      <x:c r="D51" s="92"/>
      <x:c r="E51" s="92"/>
      <x:c r="F51" s="92"/>
      <x:c r="G51" s="92"/>
      <x:c r="H51" s="92"/>
      <x:c r="I51" s="92"/>
      <x:c r="J51" s="92"/>
      <x:c r="K51" s="2"/>
      <x:c r="L51" s="2"/>
      <x:c r="M51" s="2"/>
      <x:c r="N51" s="2"/>
      <x:c r="O51" s="2"/>
      <x:c r="P51" s="2"/>
      <x:c r="Q51" s="2"/>
      <x:c r="R51" s="2"/>
    </x:row>
    <x:row r="52" ht="19" hidden="0" customHeight="1">
      <x:c r="A52" s="86"/>
      <x:c r="B52" s="86"/>
      <x:c r="C52" s="86"/>
      <x:c r="D52" s="86"/>
      <x:c r="E52" s="86"/>
      <x:c r="F52" s="86"/>
      <x:c r="G52" s="86"/>
      <x:c r="H52" s="86"/>
      <x:c r="I52" s="86"/>
      <x:c r="J52" s="86"/>
      <x:c r="K52" s="2"/>
      <x:c r="L52" s="2"/>
      <x:c r="M52" s="2"/>
      <x:c r="N52" s="2"/>
      <x:c r="O52" s="2"/>
      <x:c r="P52" s="2"/>
      <x:c r="Q52" s="2"/>
      <x:c r="R52" s="2"/>
    </x:row>
    <x:row r="53" ht="19" hidden="0" customHeight="1">
      <x:c r="A53" s="86"/>
      <x:c r="B53" s="86"/>
      <x:c r="C53" s="86"/>
      <x:c r="D53" s="86"/>
      <x:c r="E53" s="86"/>
      <x:c r="F53" s="86"/>
      <x:c r="G53" s="86"/>
      <x:c r="H53" s="86"/>
      <x:c r="I53" s="86"/>
      <x:c r="J53" s="86"/>
      <x:c r="K53" s="2"/>
      <x:c r="L53" s="2"/>
      <x:c r="M53" s="2"/>
      <x:c r="N53" s="2"/>
      <x:c r="O53" s="2"/>
      <x:c r="P53" s="2"/>
      <x:c r="Q53" s="2"/>
      <x:c r="R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  <x:c r="M54" s="2"/>
      <x:c r="N54" s="2"/>
      <x:c r="O54" s="2"/>
      <x:c r="P54" s="2"/>
      <x:c r="Q54" s="2"/>
      <x:c r="R54" s="2"/>
    </x:row>
    <x:row r="55" ht="19" hidden="0" customHeight="1">
      <x:c r="A55" s="86"/>
      <x:c r="B55" s="86"/>
      <x:c r="C55" s="86"/>
      <x:c r="D55" s="86"/>
      <x:c r="E55" s="86"/>
      <x:c r="F55" s="86"/>
      <x:c r="G55" s="86"/>
      <x:c r="H55" s="86"/>
      <x:c r="I55" s="86"/>
      <x:c r="J55" s="86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1:J43"/>
    <x:mergeCell ref="B45:J47"/>
    <x:mergeCell ref="C50:J51"/>
  </x:mergeCells>
  <x:pageMargins left="0.7" right="0.7" top="0.75" bottom="0.75" header="0.3" footer="0.3"/>
  <x:drawing xmlns:r="http://schemas.openxmlformats.org/officeDocument/2006/relationships" r:id="R8d03832d2e374dbe"/>
  <x:legacyDrawing xmlns:r="http://schemas.openxmlformats.org/officeDocument/2006/relationships" r:id="Rb62fdc894bfc4a78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4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ASSUMPTIONS | CHANGE THE DRIVERS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Blue cells are assumptions. Base follows the current revenue anchor; upside and downside change remaining-year revenue and margins.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  <x:c r="K4" s="2"/>
      <x:c r="L4" s="2"/>
      <x:c r="M4" s="2"/>
      <x:c r="N4" s="2"/>
    </x:row>
    <x:row r="5" ht="19" hidden="0" customHeight="1">
      <x:c r="A5" s="86"/>
      <x:c r="B5" s="109" t="str">
        <x:v>Scenario: 1 Base / 2 Upside / 3 Downside</x:v>
      </x:c>
      <x:c r="C5" s="137" t="n">
        <x:v>1</x:v>
      </x:c>
      <x:c r="D5" s="86"/>
      <x:c r="E5" s="86"/>
      <x:c r="F5" s="86"/>
      <x:c r="G5" s="86"/>
      <x:c r="H5" s="86"/>
      <x:c r="I5" s="86"/>
      <x:c r="J5" s="86"/>
      <x:c r="K5" s="2"/>
      <x:c r="L5" s="2"/>
      <x:c r="M5" s="2"/>
      <x:c r="N5" s="2"/>
    </x:row>
    <x:row r="6" ht="19" hidden="0" customHeight="1">
      <x:c r="A6" s="86"/>
      <x:c r="B6" s="86" t="str">
        <x:v>Active case</x:v>
      </x:c>
      <x:c r="C6" s="112" t="str">
        <x:f aca="0">CHOOSE(C5,"BASE","UPSIDE","DOWNSIDE")</x:f>
        <x:v>BASE</x:v>
      </x:c>
      <x:c r="D6" s="86"/>
      <x:c r="E6" s="86"/>
      <x:c r="F6" s="86"/>
      <x:c r="G6" s="86"/>
      <x:c r="H6" s="86"/>
      <x:c r="I6" s="86"/>
      <x:c r="J6" s="86"/>
      <x:c r="K6" s="2"/>
      <x:c r="L6" s="2"/>
      <x:c r="M6" s="2"/>
      <x:c r="N6" s="2"/>
    </x:row>
    <x:row r="7" ht="19" hidden="0" customHeight="1">
      <x:c r="A7" s="86"/>
      <x:c r="B7" s="86"/>
      <x:c r="C7" s="86"/>
      <x:c r="D7" s="86"/>
      <x:c r="E7" s="86"/>
      <x:c r="F7" s="86"/>
      <x:c r="G7" s="86"/>
      <x:c r="H7" s="86"/>
      <x:c r="I7" s="86"/>
      <x:c r="J7" s="86"/>
      <x:c r="K7" s="2"/>
      <x:c r="L7" s="2"/>
      <x:c r="M7" s="2"/>
      <x:c r="N7" s="2"/>
    </x:row>
    <x:row r="8" ht="19" hidden="0" customHeight="1">
      <x:c r="A8" s="109"/>
      <x:c r="B8" s="109"/>
      <x:c r="C8" s="109" t="str">
        <x:v>Base</x:v>
      </x:c>
      <x:c r="D8" s="109" t="str">
        <x:v>Upside</x:v>
      </x:c>
      <x:c r="E8" s="109" t="str">
        <x:v>Downside</x:v>
      </x:c>
      <x:c r="F8" s="109" t="str">
        <x:v>Active</x:v>
      </x:c>
      <x:c r="G8" s="109"/>
      <x:c r="H8" s="109"/>
      <x:c r="I8" s="86"/>
      <x:c r="J8" s="86"/>
      <x:c r="K8" s="2"/>
      <x:c r="L8" s="2"/>
      <x:c r="M8" s="2"/>
      <x:c r="N8" s="2"/>
    </x:row>
    <x:row r="9" ht="19" hidden="0" customHeight="1">
      <x:c r="A9" s="86"/>
      <x:c r="B9" s="86"/>
      <x:c r="C9" s="112"/>
      <x:c r="D9" s="112"/>
      <x:c r="E9" s="112"/>
      <x:c r="F9" s="112"/>
      <x:c r="G9" s="86"/>
      <x:c r="H9" s="109"/>
      <x:c r="I9" s="86"/>
      <x:c r="J9" s="86"/>
      <x:c r="K9" s="2"/>
      <x:c r="L9" s="2"/>
      <x:c r="M9" s="2"/>
      <x:c r="N9" s="2"/>
    </x:row>
    <x:row r="10" ht="19" hidden="0" customHeight="1">
      <x:c r="A10" s="86"/>
      <x:c r="B10" s="86" t="str">
        <x:v>Remaining-year revenue change</x:v>
      </x:c>
      <x:c r="C10" s="140" t="n">
        <x:v>0</x:v>
      </x:c>
      <x:c r="D10" s="140" t="n">
        <x:v>0.04</x:v>
      </x:c>
      <x:c r="E10" s="140" t="n">
        <x:v>-0.06</x:v>
      </x:c>
      <x:c r="F10" s="141" t="n">
        <x:f aca="0">CHOOSE($C$5,C10,D10,E10)</x:f>
        <x:v>0</x:v>
      </x:c>
      <x:c r="G10" s="86"/>
      <x:c r="H10" s="123"/>
      <x:c r="I10" s="86"/>
      <x:c r="J10" s="86"/>
      <x:c r="K10" s="2"/>
      <x:c r="L10" s="2"/>
      <x:c r="M10" s="2"/>
      <x:c r="N10" s="2"/>
    </x:row>
    <x:row r="11" ht="19" hidden="0" customHeight="1">
      <x:c r="A11" s="86"/>
      <x:c r="B11" s="86" t="str">
        <x:v>Later annual core revenue growth</x:v>
      </x:c>
      <x:c r="C11" s="140" t="n">
        <x:v>0.02</x:v>
      </x:c>
      <x:c r="D11" s="140" t="n">
        <x:v>0.05</x:v>
      </x:c>
      <x:c r="E11" s="140" t="n">
        <x:v>-0.01</x:v>
      </x:c>
      <x:c r="F11" s="141" t="n">
        <x:f aca="0">CHOOSE($C$5,C11,D11,E11)</x:f>
        <x:v>0.02</x:v>
      </x:c>
      <x:c r="G11" s="86"/>
      <x:c r="H11" s="123"/>
      <x:c r="I11" s="86"/>
      <x:c r="J11" s="86"/>
      <x:c r="K11" s="2"/>
      <x:c r="L11" s="2"/>
      <x:c r="M11" s="2"/>
      <x:c r="N11" s="2"/>
    </x:row>
    <x:row r="12" ht="19" hidden="0" customHeight="1">
      <x:c r="A12" s="86"/>
      <x:c r="B12" s="86" t="str">
        <x:v>Current full-year operating margin</x:v>
      </x:c>
      <x:c r="C12" s="140" t="n">
        <x:v>0.075</x:v>
      </x:c>
      <x:c r="D12" s="140" t="n">
        <x:v>0.095</x:v>
      </x:c>
      <x:c r="E12" s="140" t="n">
        <x:v>0.045</x:v>
      </x:c>
      <x:c r="F12" s="141" t="n">
        <x:f aca="0">CHOOSE($C$5,C12,D12,E12)</x:f>
        <x:v>0.075</x:v>
      </x:c>
      <x:c r="G12" s="86"/>
      <x:c r="H12" s="123"/>
      <x:c r="I12" s="86"/>
      <x:c r="J12" s="86"/>
      <x:c r="K12" s="2"/>
      <x:c r="L12" s="2"/>
      <x:c r="M12" s="2"/>
      <x:c r="N12" s="2"/>
    </x:row>
    <x:row r="13" ht="19" hidden="0" customHeight="1">
      <x:c r="A13" s="86"/>
      <x:c r="B13" s="86" t="str">
        <x:v>Annual margin change</x:v>
      </x:c>
      <x:c r="C13" s="140" t="n">
        <x:v>0</x:v>
      </x:c>
      <x:c r="D13" s="140" t="n">
        <x:v>0.005</x:v>
      </x:c>
      <x:c r="E13" s="140" t="n">
        <x:v>-0.001</x:v>
      </x:c>
      <x:c r="F13" s="141" t="n">
        <x:f aca="0">CHOOSE($C$5,C13,D13,E13)</x:f>
        <x:v>0</x:v>
      </x:c>
      <x:c r="G13" s="86"/>
      <x:c r="H13" s="123"/>
      <x:c r="I13" s="86"/>
      <x:c r="J13" s="86"/>
      <x:c r="K13" s="2"/>
      <x:c r="L13" s="2"/>
      <x:c r="M13" s="2"/>
      <x:c r="N13" s="2"/>
    </x:row>
    <x:row r="14" ht="19" hidden="0" customHeight="1">
      <x:c r="A14" s="86"/>
      <x:c r="B14" s="86" t="str">
        <x:v>Normalized tax rate</x:v>
      </x:c>
      <x:c r="C14" s="140" t="n">
        <x:v>0.275</x:v>
      </x:c>
      <x:c r="D14" s="140" t="n">
        <x:v>0.275</x:v>
      </x:c>
      <x:c r="E14" s="140" t="n">
        <x:v>0.29000000000000004</x:v>
      </x:c>
      <x:c r="F14" s="141" t="n">
        <x:f aca="0">CHOOSE($C$5,C14,D14,E14)</x:f>
        <x:v>0.275</x:v>
      </x:c>
      <x:c r="G14" s="86"/>
      <x:c r="H14" s="123"/>
      <x:c r="I14" s="86"/>
      <x:c r="J14" s="86"/>
      <x:c r="K14" s="2"/>
      <x:c r="L14" s="2"/>
      <x:c r="M14" s="2"/>
      <x:c r="N14" s="2"/>
    </x:row>
    <x:row r="15" ht="19" hidden="0" customHeight="1">
      <x:c r="A15" s="86"/>
      <x:c r="B15" s="86" t="str">
        <x:v>PP&amp;E depreciation / revenue</x:v>
      </x:c>
      <x:c r="C15" s="140" t="n">
        <x:v>0.032</x:v>
      </x:c>
      <x:c r="D15" s="140" t="n">
        <x:v>0.032</x:v>
      </x:c>
      <x:c r="E15" s="140" t="n">
        <x:v>0.032</x:v>
      </x:c>
      <x:c r="F15" s="141" t="n">
        <x:f aca="0">CHOOSE($C$5,C15,D15,E15)</x:f>
        <x:v>0.032</x:v>
      </x:c>
      <x:c r="G15" s="86"/>
      <x:c r="H15" s="123"/>
      <x:c r="I15" s="86"/>
      <x:c r="J15" s="86"/>
      <x:c r="K15" s="2"/>
      <x:c r="L15" s="2"/>
      <x:c r="M15" s="2"/>
      <x:c r="N15" s="2"/>
    </x:row>
    <x:row r="16" ht="19" hidden="0" customHeight="1">
      <x:c r="A16" s="86"/>
      <x:c r="B16" s="86" t="str">
        <x:v>Current full-year capex / revenue</x:v>
      </x:c>
      <x:c r="C16" s="140" t="n">
        <x:v>0.042</x:v>
      </x:c>
      <x:c r="D16" s="140" t="n">
        <x:v>0.042</x:v>
      </x:c>
      <x:c r="E16" s="140" t="n">
        <x:v>0.045000000000000005</x:v>
      </x:c>
      <x:c r="F16" s="141" t="n">
        <x:f aca="0">CHOOSE($C$5,C16,D16,E16)</x:f>
        <x:v>0.042</x:v>
      </x:c>
      <x:c r="G16" s="86"/>
      <x:c r="H16" s="123"/>
      <x:c r="I16" s="86"/>
      <x:c r="J16" s="86"/>
      <x:c r="K16" s="2"/>
      <x:c r="L16" s="2"/>
      <x:c r="M16" s="2"/>
      <x:c r="N16" s="2"/>
    </x:row>
    <x:row r="17" ht="19" hidden="0" customHeight="1">
      <x:c r="A17" s="86"/>
      <x:c r="B17" s="86" t="str">
        <x:v>Later annual capex / revenue</x:v>
      </x:c>
      <x:c r="C17" s="140" t="n">
        <x:v>0.036</x:v>
      </x:c>
      <x:c r="D17" s="140" t="n">
        <x:v>0.036</x:v>
      </x:c>
      <x:c r="E17" s="140" t="n">
        <x:v>0.038</x:v>
      </x:c>
      <x:c r="F17" s="141" t="n">
        <x:f aca="0">CHOOSE($C$5,C17,D17,E17)</x:f>
        <x:v>0.036</x:v>
      </x:c>
      <x:c r="G17" s="86"/>
      <x:c r="H17" s="123"/>
      <x:c r="I17" s="86"/>
      <x:c r="J17" s="86"/>
      <x:c r="K17" s="2"/>
      <x:c r="L17" s="2"/>
      <x:c r="M17" s="2"/>
      <x:c r="N17" s="2"/>
    </x:row>
    <x:row r="18" ht="19" hidden="0" customHeight="1">
      <x:c r="A18" s="86"/>
      <x:c r="B18" s="86" t="str">
        <x:v>Annual dividend growth</x:v>
      </x:c>
      <x:c r="C18" s="140" t="n">
        <x:v>0.03</x:v>
      </x:c>
      <x:c r="D18" s="140" t="n">
        <x:v>0.05</x:v>
      </x:c>
      <x:c r="E18" s="140" t="n">
        <x:v>0</x:v>
      </x:c>
      <x:c r="F18" s="141" t="n">
        <x:f aca="0">CHOOSE($C$5,C18,D18,E18)</x:f>
        <x:v>0.03</x:v>
      </x:c>
      <x:c r="G18" s="86"/>
      <x:c r="H18" s="123"/>
      <x:c r="I18" s="86"/>
      <x:c r="J18" s="86"/>
      <x:c r="K18" s="2"/>
      <x:c r="L18" s="2"/>
      <x:c r="M18" s="2"/>
      <x:c r="N18" s="2"/>
    </x:row>
    <x:row r="19" ht="19" hidden="0" customHeight="1">
      <x:c r="A19" s="86"/>
      <x:c r="B19" s="86" t="str">
        <x:v>Annual buyback budget</x:v>
      </x:c>
      <x:c r="C19" s="144" t="n">
        <x:v>300</x:v>
      </x:c>
      <x:c r="D19" s="144" t="n">
        <x:v>300</x:v>
      </x:c>
      <x:c r="E19" s="144" t="n">
        <x:v>0</x:v>
      </x:c>
      <x:c r="F19" s="145" t="n">
        <x:f aca="0">CHOOSE($C$5,C19,D19,E19)</x:f>
        <x:v>300</x:v>
      </x:c>
      <x:c r="G19" s="86"/>
      <x:c r="H19" s="123"/>
      <x:c r="I19" s="86"/>
      <x:c r="J19" s="86"/>
      <x:c r="K19" s="2"/>
      <x:c r="L19" s="2"/>
      <x:c r="M19" s="2"/>
      <x:c r="N19" s="2"/>
    </x:row>
    <x:row r="20" ht="19" hidden="0" customHeight="1">
      <x:c r="A20" s="86"/>
      <x:c r="B20" s="86" t="str">
        <x:v>SBC economic expense / revenue</x:v>
      </x:c>
      <x:c r="C20" s="101" t="n">
        <x:v>0.0105</x:v>
      </x:c>
      <x:c r="D20" s="101" t="n">
        <x:v>0.009500000000000001</x:v>
      </x:c>
      <x:c r="E20" s="101" t="n">
        <x:v>0.0125</x:v>
      </x:c>
      <x:c r="F20" s="99" t="n">
        <x:f>CHOOSE($C$5,C20,D20,E20)</x:f>
        <x:v>0.0105</x:v>
      </x:c>
      <x:c r="G20" s="86"/>
      <x:c r="H20" s="86"/>
      <x:c r="I20" s="86"/>
      <x:c r="J20" s="86"/>
      <x:c r="K20" s="2"/>
      <x:c r="L20" s="2"/>
      <x:c r="M20" s="2"/>
      <x:c r="N20" s="2"/>
    </x:row>
    <x:row r="21" ht="19" hidden="0" customHeight="1">
      <x:c r="A21" s="109"/>
      <x:c r="B21" s="109" t="str">
        <x:v>Services annual growth (CRM)</x:v>
      </x:c>
      <x:c r="C21" s="148" t="n">
        <x:v>0</x:v>
      </x:c>
      <x:c r="D21" s="148" t="n">
        <x:v>0.03</x:v>
      </x:c>
      <x:c r="E21" s="148" t="n">
        <x:v>-0.05</x:v>
      </x:c>
      <x:c r="F21" s="146" t="n">
        <x:f>CHOOSE($C$5,C21,D21,E21)</x:f>
        <x:v>0</x:v>
      </x:c>
      <x:c r="G21" s="109"/>
      <x:c r="H21" s="109"/>
      <x:c r="I21" s="86"/>
      <x:c r="J21" s="86"/>
      <x:c r="K21" s="2"/>
      <x:c r="L21" s="2"/>
      <x:c r="M21" s="2"/>
      <x:c r="N21" s="2"/>
    </x:row>
    <x:row r="22" ht="19" hidden="0" customHeight="1">
      <x:c r="A22" s="86"/>
      <x:c r="B22" s="86" t="str">
        <x:v>Borrowing cost / refinancing rate</x:v>
      </x:c>
      <x:c r="C22" s="140" t="n">
        <x:v>0.06</x:v>
      </x:c>
      <x:c r="D22" s="101" t="n">
        <x:v>0.06</x:v>
      </x:c>
      <x:c r="E22" s="101" t="n">
        <x:v>0.075</x:v>
      </x:c>
      <x:c r="F22" s="99" t="n">
        <x:f>CHOOSE($C$5,C22,D22,E22)</x:f>
        <x:v>0.06</x:v>
      </x:c>
      <x:c r="G22" s="86"/>
      <x:c r="H22" s="123"/>
      <x:c r="I22" s="86"/>
      <x:c r="J22" s="86"/>
      <x:c r="K22" s="2"/>
      <x:c r="L22" s="2"/>
      <x:c r="M22" s="2"/>
      <x:c r="N22" s="2"/>
    </x:row>
    <x:row r="23" ht="19" hidden="0" customHeight="1">
      <x:c r="A23" s="86"/>
      <x:c r="B23" s="86"/>
      <x:c r="C23" s="125"/>
      <x:c r="D23" s="86"/>
      <x:c r="E23" s="86"/>
      <x:c r="F23" s="86"/>
      <x:c r="G23" s="86"/>
      <x:c r="H23" s="123"/>
      <x:c r="I23" s="86"/>
      <x:c r="J23" s="86"/>
      <x:c r="K23" s="2"/>
      <x:c r="L23" s="2"/>
      <x:c r="M23" s="2"/>
      <x:c r="N23" s="2"/>
    </x:row>
    <x:row r="24" ht="19" hidden="0" customHeight="1">
      <x:c r="A24" s="86"/>
      <x:c r="B24" s="86"/>
      <x:c r="C24" s="125"/>
      <x:c r="D24" s="86"/>
      <x:c r="E24" s="86"/>
      <x:c r="F24" s="86"/>
      <x:c r="G24" s="86"/>
      <x:c r="H24" s="123"/>
      <x:c r="I24" s="86"/>
      <x:c r="J24" s="86"/>
      <x:c r="K24" s="2"/>
      <x:c r="L24" s="2"/>
      <x:c r="M24" s="2"/>
      <x:c r="N24" s="2"/>
    </x:row>
    <x:row r="25" ht="24" hidden="0" customHeight="1">
      <x:c r="A25" s="86"/>
      <x:c r="B25" s="103" t="str">
        <x:v>Valuation assumptions — analyst inputs, not live quotes</x:v>
      </x:c>
      <x:c r="C25" s="151"/>
      <x:c r="D25" s="103"/>
      <x:c r="E25" s="103"/>
      <x:c r="F25" s="103"/>
      <x:c r="G25" s="103"/>
      <x:c r="H25" s="152"/>
      <x:c r="I25" s="103"/>
      <x:c r="J25" s="103"/>
      <x:c r="K25" s="2"/>
      <x:c r="L25" s="2"/>
      <x:c r="M25" s="2"/>
      <x:c r="N25" s="2"/>
    </x:row>
    <x:row r="26" ht="19" hidden="0" customHeight="1">
      <x:c r="A26" s="86"/>
      <x:c r="B26" s="86"/>
      <x:c r="C26" s="127"/>
      <x:c r="D26" s="86"/>
      <x:c r="E26" s="86"/>
      <x:c r="F26" s="86"/>
      <x:c r="G26" s="86"/>
      <x:c r="H26" s="123"/>
      <x:c r="I26" s="86"/>
      <x:c r="J26" s="86"/>
      <x:c r="K26" s="2"/>
      <x:c r="L26" s="2"/>
      <x:c r="M26" s="2"/>
      <x:c r="N26" s="2"/>
    </x:row>
    <x:row r="27" ht="19" hidden="0" customHeight="1">
      <x:c r="A27" s="86"/>
      <x:c r="B27" s="86" t="str">
        <x:v>Risk-free rate</x:v>
      </x:c>
      <x:c r="C27" s="140" t="n">
        <x:v>0.042</x:v>
      </x:c>
      <x:c r="D27" s="86"/>
      <x:c r="E27" s="86"/>
      <x:c r="F27" s="86"/>
      <x:c r="G27" s="86"/>
      <x:c r="H27" s="123"/>
      <x:c r="I27" s="86"/>
      <x:c r="J27" s="86"/>
      <x:c r="K27" s="2"/>
      <x:c r="L27" s="2"/>
      <x:c r="M27" s="2"/>
      <x:c r="N27" s="2"/>
    </x:row>
    <x:row r="28" ht="19" hidden="0" customHeight="1">
      <x:c r="A28" s="86"/>
      <x:c r="B28" s="86" t="str">
        <x:v>Equity risk premium</x:v>
      </x:c>
      <x:c r="C28" s="140" t="n">
        <x:v>0.05</x:v>
      </x:c>
      <x:c r="D28" s="86"/>
      <x:c r="E28" s="86"/>
      <x:c r="F28" s="86"/>
      <x:c r="G28" s="86"/>
      <x:c r="H28" s="123"/>
      <x:c r="I28" s="86"/>
      <x:c r="J28" s="86"/>
      <x:c r="K28" s="2"/>
      <x:c r="L28" s="2"/>
      <x:c r="M28" s="2"/>
      <x:c r="N28" s="2"/>
    </x:row>
    <x:row r="29" ht="19" hidden="0" customHeight="1">
      <x:c r="A29" s="86"/>
      <x:c r="B29" s="86" t="str">
        <x:v>Equity beta</x:v>
      </x:c>
      <x:c r="C29" s="153" t="n">
        <x:v>2.06</x:v>
      </x:c>
      <x:c r="D29" s="86"/>
      <x:c r="E29" s="86"/>
      <x:c r="F29" s="86"/>
      <x:c r="G29" s="86"/>
      <x:c r="H29" s="123"/>
      <x:c r="I29" s="86"/>
      <x:c r="J29" s="86"/>
      <x:c r="K29" s="2"/>
      <x:c r="L29" s="2"/>
      <x:c r="M29" s="2"/>
      <x:c r="N29" s="2"/>
    </x:row>
    <x:row r="30" ht="19" hidden="0" customHeight="1">
      <x:c r="A30" s="86"/>
      <x:c r="B30" s="86" t="str">
        <x:v>Size / specific premium</x:v>
      </x:c>
      <x:c r="C30" s="140" t="n">
        <x:v>0</x:v>
      </x:c>
      <x:c r="D30" s="86"/>
      <x:c r="E30" s="86"/>
      <x:c r="F30" s="86"/>
      <x:c r="G30" s="86"/>
      <x:c r="H30" s="123"/>
      <x:c r="I30" s="86"/>
      <x:c r="J30" s="86"/>
      <x:c r="K30" s="2"/>
      <x:c r="L30" s="2"/>
      <x:c r="M30" s="2"/>
      <x:c r="N30" s="2"/>
    </x:row>
    <x:row r="31" ht="19" hidden="0" customHeight="1">
      <x:c r="A31" s="86"/>
      <x:c r="B31" s="86" t="str">
        <x:v>Terminal growth</x:v>
      </x:c>
      <x:c r="C31" s="140" t="n">
        <x:v>0.02</x:v>
      </x:c>
      <x:c r="D31" s="86"/>
      <x:c r="E31" s="86"/>
      <x:c r="F31" s="86"/>
      <x:c r="G31" s="86"/>
      <x:c r="H31" s="123"/>
      <x:c r="I31" s="86"/>
      <x:c r="J31" s="86"/>
      <x:c r="K31" s="2"/>
      <x:c r="L31" s="2"/>
      <x:c r="M31" s="2"/>
      <x:c r="N31" s="2"/>
    </x:row>
    <x:row r="32" ht="19" hidden="0" customHeight="1">
      <x:c r="A32" s="86"/>
      <x:c r="B32" s="86" t="str">
        <x:v>Terminal EV / after-rent EBITDA</x:v>
      </x:c>
      <x:c r="C32" s="156" t="n">
        <x:v>6.5</x:v>
      </x:c>
      <x:c r="D32" s="86"/>
      <x:c r="E32" s="86"/>
      <x:c r="F32" s="86"/>
      <x:c r="G32" s="86"/>
      <x:c r="H32" s="86"/>
      <x:c r="I32" s="86"/>
      <x:c r="J32" s="86"/>
      <x:c r="K32" s="2"/>
      <x:c r="L32" s="2"/>
      <x:c r="M32" s="2"/>
      <x:c r="N32" s="2"/>
    </x:row>
    <x:row r="33" ht="19" hidden="0" customHeight="1">
      <x:c r="A33" s="109"/>
      <x:c r="B33" s="109" t="str">
        <x:v>WACC override (0 = calculated)</x:v>
      </x:c>
      <x:c r="C33" s="148" t="n">
        <x:v>0</x:v>
      </x:c>
      <x:c r="D33" s="109"/>
      <x:c r="E33" s="109"/>
      <x:c r="F33" s="109"/>
      <x:c r="G33" s="109"/>
      <x:c r="H33" s="109"/>
      <x:c r="I33" s="86"/>
      <x:c r="J33" s="86"/>
      <x:c r="K33" s="2"/>
      <x:c r="L33" s="2"/>
      <x:c r="M33" s="2"/>
      <x:c r="N33" s="2"/>
    </x:row>
    <x:row r="34" ht="19" hidden="0" customHeight="1">
      <x:c r="A34" s="86"/>
      <x:c r="B34" s="86" t="str">
        <x:v>Midyear discounting (1=yes, 0=no)</x:v>
      </x:c>
      <x:c r="C34" s="157" t="n">
        <x:v>1</x:v>
      </x:c>
      <x:c r="D34" s="86"/>
      <x:c r="E34" s="86"/>
      <x:c r="F34" s="86"/>
      <x:c r="G34" s="86"/>
      <x:c r="H34" s="123"/>
      <x:c r="I34" s="86"/>
      <x:c r="J34" s="86"/>
      <x:c r="K34" s="2"/>
      <x:c r="L34" s="2"/>
      <x:c r="M34" s="2"/>
      <x:c r="N34" s="2"/>
    </x:row>
    <x:row r="35" ht="19" hidden="0" customHeight="1">
      <x:c r="A35" s="86"/>
      <x:c r="B35" s="86" t="str">
        <x:v>Selected EBITDA multiple — low</x:v>
      </x:c>
      <x:c r="C35" s="160" t="n">
        <x:v>6.5</x:v>
      </x:c>
      <x:c r="D35" s="86"/>
      <x:c r="E35" s="86"/>
      <x:c r="F35" s="86"/>
      <x:c r="G35" s="86"/>
      <x:c r="H35" s="123"/>
      <x:c r="I35" s="86"/>
      <x:c r="J35" s="86"/>
      <x:c r="K35" s="2"/>
      <x:c r="L35" s="2"/>
      <x:c r="M35" s="2"/>
      <x:c r="N35" s="2"/>
    </x:row>
    <x:row r="36" ht="19" hidden="0" customHeight="1">
      <x:c r="A36" s="86"/>
      <x:c r="B36" s="86" t="str">
        <x:v>Selected EBITDA multiple — high</x:v>
      </x:c>
      <x:c r="C36" s="156" t="n">
        <x:v>8.5</x:v>
      </x:c>
      <x:c r="D36" s="86"/>
      <x:c r="E36" s="86"/>
      <x:c r="F36" s="86"/>
      <x:c r="G36" s="86"/>
      <x:c r="H36" s="86"/>
      <x:c r="I36" s="86"/>
      <x:c r="J36" s="86"/>
      <x:c r="K36" s="2"/>
      <x:c r="L36" s="2"/>
      <x:c r="M36" s="2"/>
      <x:c r="N36" s="2"/>
    </x:row>
    <x:row r="37" ht="19" hidden="0" customHeight="1">
      <x:c r="A37" s="109"/>
      <x:c r="B37" s="109" t="str">
        <x:v>Selected EV / sales — low</x:v>
      </x:c>
      <x:c r="C37" s="163" t="n">
        <x:v>0.4</x:v>
      </x:c>
      <x:c r="D37" s="109"/>
      <x:c r="E37" s="109"/>
      <x:c r="F37" s="109"/>
      <x:c r="G37" s="109"/>
      <x:c r="H37" s="109"/>
      <x:c r="I37" s="86"/>
      <x:c r="J37" s="86"/>
      <x:c r="K37" s="2"/>
      <x:c r="L37" s="2"/>
      <x:c r="M37" s="2"/>
      <x:c r="N37" s="2"/>
    </x:row>
    <x:row r="38" ht="19" hidden="0" customHeight="1">
      <x:c r="A38" s="86"/>
      <x:c r="B38" s="86" t="str">
        <x:v>Selected EV / sales — high</x:v>
      </x:c>
      <x:c r="C38" s="160" t="n">
        <x:v>0.7</x:v>
      </x:c>
      <x:c r="D38" s="86"/>
      <x:c r="E38" s="86"/>
      <x:c r="F38" s="86"/>
      <x:c r="G38" s="86"/>
      <x:c r="H38" s="123"/>
      <x:c r="I38" s="86"/>
      <x:c r="J38" s="86"/>
      <x:c r="K38" s="2"/>
      <x:c r="L38" s="2"/>
      <x:c r="M38" s="2"/>
      <x:c r="N38" s="2"/>
    </x:row>
    <x:row r="39" ht="19" hidden="0" customHeight="1">
      <x:c r="A39" s="86"/>
      <x:c r="B39" s="86" t="str">
        <x:v>Buyer premium</x:v>
      </x:c>
      <x:c r="C39" s="140" t="n">
        <x:v>0.25</x:v>
      </x:c>
      <x:c r="D39" s="86"/>
      <x:c r="E39" s="86"/>
      <x:c r="F39" s="86"/>
      <x:c r="G39" s="86"/>
      <x:c r="H39" s="123"/>
      <x:c r="I39" s="86"/>
      <x:c r="J39" s="86"/>
      <x:c r="K39" s="2"/>
      <x:c r="L39" s="2"/>
      <x:c r="M39" s="2"/>
      <x:c r="N39" s="2"/>
    </x:row>
    <x:row r="40" ht="19" hidden="0" customHeight="1">
      <x:c r="A40" s="86"/>
      <x:c r="B40" s="86" t="str">
        <x:v>Acquisition leverage / annual EBITDA</x:v>
      </x:c>
      <x:c r="C40" s="160" t="n">
        <x:v>3.5</x:v>
      </x:c>
      <x:c r="D40" s="86"/>
      <x:c r="E40" s="86"/>
      <x:c r="F40" s="86"/>
      <x:c r="G40" s="86"/>
      <x:c r="H40" s="123"/>
      <x:c r="I40" s="86"/>
      <x:c r="J40" s="86"/>
      <x:c r="K40" s="2"/>
      <x:c r="L40" s="2"/>
      <x:c r="M40" s="2"/>
      <x:c r="N40" s="2"/>
    </x:row>
    <x:row r="41" ht="19" hidden="0" customHeight="1">
      <x:c r="A41" s="86"/>
      <x:c r="B41" s="86" t="str">
        <x:v>Transaction fees / entry EV</x:v>
      </x:c>
      <x:c r="C41" s="140" t="n">
        <x:v>0.02</x:v>
      </x:c>
      <x:c r="D41" s="86"/>
      <x:c r="E41" s="86"/>
      <x:c r="F41" s="86"/>
      <x:c r="G41" s="86"/>
      <x:c r="H41" s="123"/>
      <x:c r="I41" s="86"/>
      <x:c r="J41" s="86"/>
      <x:c r="K41" s="2"/>
      <x:c r="L41" s="2"/>
      <x:c r="M41" s="2"/>
      <x:c r="N41" s="2"/>
    </x:row>
    <x:row r="42" ht="19" hidden="0" customHeight="1">
      <x:c r="A42" s="86"/>
      <x:c r="B42" s="86" t="str">
        <x:v>Buyer return hurdle</x:v>
      </x:c>
      <x:c r="C42" s="140" t="n">
        <x:v>0.2</x:v>
      </x:c>
      <x:c r="D42" s="86"/>
      <x:c r="E42" s="86"/>
      <x:c r="F42" s="86"/>
      <x:c r="G42" s="86"/>
      <x:c r="H42" s="123"/>
      <x:c r="I42" s="86"/>
      <x:c r="J42" s="86"/>
      <x:c r="K42" s="2"/>
      <x:c r="L42" s="2"/>
      <x:c r="M42" s="2"/>
      <x:c r="N42" s="2"/>
    </x:row>
    <x:row r="43" ht="19" hidden="0" customHeight="1">
      <x:c r="A43" s="86"/>
      <x:c r="B43" s="86"/>
      <x:c r="C43" s="125"/>
      <x:c r="D43" s="86"/>
      <x:c r="E43" s="86"/>
      <x:c r="F43" s="86"/>
      <x:c r="G43" s="86"/>
      <x:c r="H43" s="123"/>
      <x:c r="I43" s="86"/>
      <x:c r="J43" s="86"/>
      <x:c r="K43" s="2"/>
      <x:c r="L43" s="2"/>
      <x:c r="M43" s="2"/>
      <x:c r="N43" s="2"/>
    </x:row>
    <x:row r="44" ht="19" hidden="0" customHeight="1">
      <x:c r="A44" s="86"/>
      <x:c r="B44" s="86"/>
      <x:c r="C44" s="131"/>
      <x:c r="D44" s="86"/>
      <x:c r="E44" s="86"/>
      <x:c r="F44" s="86"/>
      <x:c r="G44" s="86"/>
      <x:c r="H44" s="123"/>
      <x:c r="I44" s="86"/>
      <x:c r="J44" s="86"/>
      <x:c r="K44" s="2"/>
      <x:c r="L44" s="2"/>
      <x:c r="M44" s="2"/>
      <x:c r="N44" s="2"/>
    </x:row>
    <x:row r="45" ht="19" hidden="0" customHeight="1">
      <x:c r="A45" s="86"/>
      <x:c r="B45" s="105" t="str">
        <x:v>SBC is already an expense in the base operating margin. Changes to its percentage change EBIT and DCF cash flow. Future share issuance is shown for EPS; DCF uses the current diluted-share proxy, so it does not charge future SBC twice.</x:v>
      </x:c>
      <x:c r="C45" s="166"/>
      <x:c r="D45" s="105"/>
      <x:c r="E45" s="105"/>
      <x:c r="F45" s="105"/>
      <x:c r="G45" s="105"/>
      <x:c r="H45" s="167"/>
      <x:c r="I45" s="105"/>
      <x:c r="J45" s="105"/>
      <x:c r="K45" s="2"/>
      <x:c r="L45" s="2"/>
      <x:c r="M45" s="2"/>
      <x:c r="N45" s="2"/>
    </x:row>
    <x:row r="46" ht="19" hidden="0" customHeight="1">
      <x:c r="A46" s="86"/>
      <x:c r="B46" s="105"/>
      <x:c r="C46" s="105"/>
      <x:c r="D46" s="105"/>
      <x:c r="E46" s="105"/>
      <x:c r="F46" s="105"/>
      <x:c r="G46" s="105"/>
      <x:c r="H46" s="105"/>
      <x:c r="I46" s="105"/>
      <x:c r="J46" s="105"/>
      <x:c r="K46" s="2"/>
      <x:c r="L46" s="2"/>
      <x:c r="M46" s="2"/>
      <x:c r="N46" s="2"/>
    </x:row>
    <x:row r="47" ht="19" hidden="0" customHeight="1">
      <x:c r="A47" s="86"/>
      <x:c r="B47" s="132"/>
      <x:c r="C47" s="132"/>
      <x:c r="D47" s="132"/>
      <x:c r="E47" s="132"/>
      <x:c r="F47" s="132"/>
      <x:c r="G47" s="132"/>
      <x:c r="H47" s="132"/>
      <x:c r="I47" s="105"/>
      <x:c r="J47" s="105"/>
      <x:c r="K47" s="2"/>
      <x:c r="L47" s="2"/>
      <x:c r="M47" s="2"/>
      <x:c r="N47" s="2"/>
    </x:row>
    <x:row r="48" ht="19" hidden="0" customHeight="1">
      <x:c r="A48" s="86"/>
      <x:c r="B48" s="132"/>
      <x:c r="C48" s="132"/>
      <x:c r="D48" s="132"/>
      <x:c r="E48" s="132"/>
      <x:c r="F48" s="132"/>
      <x:c r="G48" s="132"/>
      <x:c r="H48" s="132"/>
      <x:c r="I48" s="86"/>
      <x:c r="J48" s="86"/>
      <x:c r="K48" s="2"/>
      <x:c r="L48" s="2"/>
      <x:c r="M48" s="2"/>
      <x:c r="N48" s="2"/>
    </x:row>
    <x:row r="49" ht="19" hidden="0" customHeight="1">
      <x:c r="A49" s="86"/>
      <x:c r="B49" s="132" t="str">
        <x:v>Selected peer multiples and the 2.06 beta are valuation assumptions. Compare brand strength, margins, inventory turnover and lease costs when choosing a range.</x:v>
      </x:c>
      <x:c r="C49" s="132"/>
      <x:c r="D49" s="132"/>
      <x:c r="E49" s="132"/>
      <x:c r="F49" s="132"/>
      <x:c r="G49" s="132"/>
      <x:c r="H49" s="132"/>
      <x:c r="I49" s="105"/>
      <x:c r="J49" s="105"/>
      <x:c r="K49" s="2"/>
      <x:c r="L49" s="2"/>
      <x:c r="M49" s="2"/>
      <x:c r="N49" s="2"/>
    </x:row>
    <x:row r="50" ht="19" hidden="0" customHeight="1">
      <x:c r="A50" s="86"/>
      <x:c r="B50" s="105"/>
      <x:c r="C50" s="105"/>
      <x:c r="D50" s="105"/>
      <x:c r="E50" s="105"/>
      <x:c r="F50" s="105"/>
      <x:c r="G50" s="105"/>
      <x:c r="H50" s="105"/>
      <x:c r="I50" s="105"/>
      <x:c r="J50" s="105"/>
      <x:c r="K50" s="2"/>
      <x:c r="L50" s="2"/>
      <x:c r="M50" s="2"/>
      <x:c r="N50" s="2"/>
    </x:row>
    <x:row r="51" ht="19" hidden="0" customHeight="1">
      <x:c r="A51" s="86"/>
      <x:c r="B51" s="105"/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  <x:c r="M51" s="2"/>
      <x:c r="N51" s="2"/>
    </x:row>
    <x:row r="52" ht="19" hidden="0" customHeight="1">
      <x:c r="A52" s="86"/>
      <x:c r="B52" s="86"/>
      <x:c r="C52" s="86"/>
      <x:c r="D52" s="86"/>
      <x:c r="E52" s="86"/>
      <x:c r="F52" s="86"/>
      <x:c r="G52" s="86"/>
      <x:c r="H52" s="86"/>
      <x:c r="I52" s="86"/>
      <x:c r="J52" s="86"/>
      <x:c r="K52" s="2"/>
      <x:c r="L52" s="2"/>
      <x:c r="M52" s="2"/>
      <x:c r="N52" s="2"/>
    </x:row>
    <x:row r="53" ht="19" hidden="0" customHeight="1">
      <x:c r="A53" s="86"/>
      <x:c r="B53" s="105" t="str">
        <x:v>Year 1 covers H2; the DCF includes cash flows after the valuation date. The model assumes an even allocation of H2 cash flow and refinancing at the selected borrowing rate.</x:v>
      </x:c>
      <x:c r="C53" s="105"/>
      <x:c r="D53" s="105"/>
      <x:c r="E53" s="105"/>
      <x:c r="F53" s="105"/>
      <x:c r="G53" s="105"/>
      <x:c r="H53" s="105"/>
      <x:c r="I53" s="105"/>
      <x:c r="J53" s="105"/>
      <x:c r="K53" s="2"/>
      <x:c r="L53" s="2"/>
      <x:c r="M53" s="2"/>
      <x:c r="N53" s="2"/>
    </x:row>
    <x:row r="54" ht="19" hidden="0" customHeight="1">
      <x:c r="A54" s="86"/>
      <x:c r="B54" s="105"/>
      <x:c r="C54" s="105"/>
      <x:c r="D54" s="105"/>
      <x:c r="E54" s="105"/>
      <x:c r="F54" s="105"/>
      <x:c r="G54" s="105"/>
      <x:c r="H54" s="105"/>
      <x:c r="I54" s="105"/>
      <x:c r="J54" s="105"/>
      <x:c r="K54" s="2"/>
      <x:c r="L54" s="2"/>
      <x:c r="M54" s="2"/>
      <x:c r="N54" s="2"/>
    </x:row>
    <x:row r="55" ht="19" hidden="0" customHeight="1">
      <x:c r="A55" s="86"/>
      <x:c r="B55" s="105"/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  <x:c r="M55" s="2"/>
      <x:c r="N55" s="2"/>
    </x:row>
    <x:row r="56" ht="19" hidden="0" customHeight="1">
      <x:c r="A56" s="86"/>
      <x:c r="B56" s="86"/>
      <x:c r="C56" s="86"/>
      <x:c r="D56" s="86"/>
      <x:c r="E56" s="86"/>
      <x:c r="F56" s="86"/>
      <x:c r="G56" s="86"/>
      <x:c r="H56" s="86"/>
      <x:c r="I56" s="86"/>
      <x:c r="J56" s="86"/>
      <x:c r="K56" s="2"/>
      <x:c r="L56" s="2"/>
      <x:c r="M56" s="2"/>
      <x:c r="N56" s="2"/>
    </x:row>
    <x:row r="57" ht="19" hidden="0" customHeight="1">
      <x:c r="A57" s="86"/>
      <x:c r="B57" s="86"/>
      <x:c r="C57" s="86"/>
      <x:c r="D57" s="86"/>
      <x:c r="E57" s="86"/>
      <x:c r="F57" s="86"/>
      <x:c r="G57" s="86"/>
      <x:c r="H57" s="86"/>
      <x:c r="I57" s="86"/>
      <x:c r="J57" s="86"/>
      <x:c r="K57" s="2"/>
      <x:c r="L57" s="2"/>
      <x:c r="M57" s="2"/>
      <x:c r="N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  <x:c r="M58" s="2"/>
      <x:c r="N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  <x:c r="M59" s="2"/>
      <x:c r="N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  <x:c r="M60" s="2"/>
      <x:c r="N60" s="2"/>
    </x:row>
    <x:row r="61" ht="19" hidden="0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  <x:c r="K61" s="2"/>
      <x:c r="L61" s="2"/>
      <x:c r="M61" s="2"/>
      <x:c r="N61" s="2"/>
    </x:row>
    <x:row r="62" ht="19" hidden="0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  <x:c r="M62" s="2"/>
      <x:c r="N62" s="2"/>
    </x:row>
    <x:row r="63" ht="19" hidden="0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  <x:c r="K63" s="2"/>
      <x:c r="L63" s="2"/>
      <x:c r="M63" s="2"/>
      <x:c r="N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  <x:c r="M64" s="2"/>
      <x:c r="N64" s="2"/>
    </x:row>
    <x:row r="65" ht="19" hidden="0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</x:sheetData>
  <x:mergeCells>
    <x:mergeCell ref="A1:J1"/>
    <x:mergeCell ref="A2:J3"/>
    <x:mergeCell ref="B25:J25"/>
    <x:mergeCell ref="B45:J47"/>
    <x:mergeCell ref="B49:J51"/>
    <x:mergeCell ref="B53:J55"/>
  </x:mergeCells>
  <x:dataValidations count="1">
    <x:dataValidation type="list" sqref="C5">
      <x:formula1>"1,2,3"</x:formula1>
    </x:dataValidation>
  </x:dataValidations>
  <x:pageMargins left="0.7" right="0.7" top="0.75" bottom="0.75" header="0.3" footer="0.3"/>
  <x:legacyDrawing xmlns:r="http://schemas.openxmlformats.org/officeDocument/2006/relationships" r:id="R227788045b0d494c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4" t="s">
        <x:v>2</x:v>
      </x:c>
      <x:c r="B4" s="14"/>
      <x:c r="C4" s="14"/>
      <x:c r="D4" s="14"/>
      <x:c r="E4" s="14"/>
      <x:c r="F4" s="14"/>
      <x:c r="G4" s="14"/>
      <x:c r="H4" s="14"/>
      <x:c r="I4" s="2"/>
      <x:c r="J4" s="2"/>
    </x:row>
    <x:row r="5" ht="15" hidden="0">
      <x:c r="A5" s="2"/>
      <x:c r="B5" s="6" t="s">
        <x:v>3</x:v>
      </x:c>
      <x:c r="C5" s="17" t="s">
        <x:v>4</x:v>
      </x:c>
      <x:c r="D5" s="17" t="s">
        <x:v>5</x:v>
      </x:c>
      <x:c r="E5" s="17" t="s">
        <x:v>6</x:v>
      </x:c>
      <x:c r="F5" s="17" t="s">
        <x:v>7</x:v>
      </x:c>
      <x:c r="G5" s="17" t="s">
        <x:v>8</x:v>
      </x:c>
      <x:c r="H5" s="2"/>
      <x:c r="I5" s="2"/>
      <x:c r="J5" s="2"/>
    </x:row>
    <x:row r="6" ht="15" hidden="0">
      <x:c r="A6" s="2"/>
      <x:c r="B6" s="2"/>
      <x:c r="C6" s="40" t="s">
        <x:v>9</x:v>
      </x:c>
      <x:c r="D6" s="40" t="s">
        <x:v>10</x:v>
      </x:c>
      <x:c r="E6" s="40" t="s">
        <x:v>11</x:v>
      </x:c>
      <x:c r="F6" s="40" t="s">
        <x:v>12</x:v>
      </x:c>
      <x:c r="G6" s="40" t="s">
        <x:v>13</x:v>
      </x:c>
      <x:c r="H6" s="2"/>
      <x:c r="I6" s="2"/>
      <x:c r="J6" s="2"/>
    </x:row>
    <x:row r="7" ht="15" hidden="0">
      <x:c r="A7" s="2"/>
      <x:c r="B7" s="6" t="s">
        <x:v>14</x:v>
      </x:c>
      <x:c r="C7" s="35" t="n">
        <x:v>16670</x:v>
      </x:c>
      <x:c r="D7" s="35" t="n">
        <x:v>15616</x:v>
      </x:c>
      <x:c r="E7" s="35" t="n">
        <x:v>14889</x:v>
      </x:c>
      <x:c r="F7" s="35" t="n">
        <x:v>15086</x:v>
      </x:c>
      <x:c r="G7" s="35" t="n">
        <x:v>15366</x:v>
      </x:c>
      <x:c r="H7" s="2"/>
      <x:c r="I7" s="2"/>
      <x:c r="J7" s="2"/>
    </x:row>
    <x:row r="8" ht="15" hidden="0">
      <x:c r="A8" s="2"/>
      <x:c r="B8" s="7" t="s">
        <x:v>15</x:v>
      </x:c>
      <x:c r="C8" s="25" t="n">
        <x:v>10033</x:v>
      </x:c>
      <x:c r="D8" s="25" t="n">
        <x:v>10257</x:v>
      </x:c>
      <x:c r="E8" s="25" t="n">
        <x:v>9114</x:v>
      </x:c>
      <x:c r="F8" s="25" t="n">
        <x:v>8859</x:v>
      </x:c>
      <x:c r="G8" s="25" t="n">
        <x:v>9098</x:v>
      </x:c>
      <x:c r="H8" s="2"/>
      <x:c r="I8" s="2"/>
      <x:c r="J8" s="2"/>
    </x:row>
    <x:row r="9" ht="15" hidden="0">
      <x:c r="A9" s="2"/>
      <x:c r="B9" s="6" t="s">
        <x:v>16</x:v>
      </x:c>
      <x:c r="C9" s="35" t="n">
        <x:v>6637</x:v>
      </x:c>
      <x:c r="D9" s="35" t="n">
        <x:v>5359</x:v>
      </x:c>
      <x:c r="E9" s="35" t="n">
        <x:v>5775</x:v>
      </x:c>
      <x:c r="F9" s="35" t="n">
        <x:v>6227</x:v>
      </x:c>
      <x:c r="G9" s="35" t="n">
        <x:v>6268</x:v>
      </x:c>
      <x:c r="H9" s="2"/>
      <x:c r="I9" s="2"/>
      <x:c r="J9" s="2"/>
    </x:row>
    <x:row r="10" ht="15" hidden="0">
      <x:c r="A10" s="2"/>
      <x:c r="B10" s="41" t="s">
        <x:v>17</x:v>
      </x:c>
      <x:c r="C10" s="42" t="n">
        <x:f aca="0">C9/C7</x:f>
        <x:v>0.39814037192561486</x:v>
      </x:c>
      <x:c r="D10" s="42" t="n">
        <x:f aca="0">D9/D7</x:f>
        <x:v>0.34317366803278687</x:v>
      </x:c>
      <x:c r="E10" s="42" t="n">
        <x:f aca="0">E9/E7</x:f>
        <x:v>0.38787023977433005</x:v>
      </x:c>
      <x:c r="F10" s="42" t="n">
        <x:f aca="0">F9/F7</x:f>
        <x:v>0.41276680365902163</x:v>
      </x:c>
      <x:c r="G10" s="42" t="n">
        <x:f aca="0">G9/G7</x:f>
        <x:v>0.4079135754262658</x:v>
      </x:c>
      <x:c r="H10" s="2"/>
      <x:c r="I10" s="2"/>
      <x:c r="J10" s="2"/>
    </x:row>
    <x:row r="11" ht="15" hidden="0">
      <x:c r="A11" s="2"/>
      <x:c r="B11" s="7" t="s">
        <x:v>18</x:v>
      </x:c>
      <x:c r="C11" s="25" t="n">
        <x:v>5759</x:v>
      </x:c>
      <x:c r="D11" s="25" t="n">
        <x:v>5423</x:v>
      </x:c>
      <x:c r="E11" s="25" t="n">
        <x:v>5217</x:v>
      </x:c>
      <x:c r="F11" s="25" t="n">
        <x:v>5115</x:v>
      </x:c>
      <x:c r="G11" s="25" t="n">
        <x:v>5153</x:v>
      </x:c>
      <x:c r="H11" s="2"/>
      <x:c r="I11" s="2"/>
      <x:c r="J11" s="2"/>
    </x:row>
    <x:row r="12" ht="15" hidden="0">
      <x:c r="A12" s="2"/>
      <x:c r="B12" s="6" t="s">
        <x:v>19</x:v>
      </x:c>
      <x:c r="C12" s="35" t="n">
        <x:v>878</x:v>
      </x:c>
      <x:c r="D12" s="35" t="n">
        <x:v>-64</x:v>
      </x:c>
      <x:c r="E12" s="35" t="n">
        <x:v>558</x:v>
      </x:c>
      <x:c r="F12" s="35" t="n">
        <x:v>1112</x:v>
      </x:c>
      <x:c r="G12" s="35" t="n">
        <x:v>1115</x:v>
      </x:c>
      <x:c r="H12" s="2"/>
      <x:c r="I12" s="2"/>
      <x:c r="J12" s="2"/>
    </x:row>
    <x:row r="13" ht="15" hidden="0">
      <x:c r="A13" s="2"/>
      <x:c r="B13" s="41" t="s">
        <x:v>20</x:v>
      </x:c>
      <x:c r="C13" s="42" t="n">
        <x:f aca="0">C12/C7</x:f>
        <x:v>0.05266946610677865</x:v>
      </x:c>
      <x:c r="D13" s="42" t="n">
        <x:f aca="0">D12/D7</x:f>
        <x:v>-0.004098360655737705</x:v>
      </x:c>
      <x:c r="E13" s="42" t="n">
        <x:f aca="0">E12/E7</x:f>
        <x:v>0.03747733225871449</x:v>
      </x:c>
      <x:c r="F13" s="42" t="n">
        <x:f aca="0">F12/F7</x:f>
        <x:v>0.07371072517565955</x:v>
      </x:c>
      <x:c r="G13" s="42" t="n">
        <x:f aca="0">G12/G7</x:f>
        <x:v>0.07256280098919693</x:v>
      </x:c>
      <x:c r="H13" s="2"/>
      <x:c r="I13" s="2"/>
      <x:c r="J13" s="2"/>
    </x:row>
    <x:row r="14" ht="15" hidden="0">
      <x:c r="A14" s="2"/>
      <x:c r="B14" s="7" t="s">
        <x:v>21</x:v>
      </x:c>
      <x:c r="C14" s="25" t="n">
        <x:v>504</x:v>
      </x:c>
      <x:c r="D14" s="25" t="n">
        <x:v>540</x:v>
      </x:c>
      <x:c r="E14" s="25" t="n">
        <x:v>522</x:v>
      </x:c>
      <x:c r="F14" s="25" t="n">
        <x:v>500</x:v>
      </x:c>
      <x:c r="G14" s="25" t="n">
        <x:v>496</x:v>
      </x:c>
      <x:c r="H14" s="2"/>
      <x:c r="I14" s="2"/>
      <x:c r="J14" s="2"/>
    </x:row>
    <x:row r="15" ht="15" hidden="0">
      <x:c r="A15" s="2"/>
      <x:c r="B15" s="6" t="s">
        <x:v>22</x:v>
      </x:c>
      <x:c r="C15" s="35" t="n">
        <x:f aca="0">C12+C14</x:f>
        <x:v>1382</x:v>
      </x:c>
      <x:c r="D15" s="35" t="n">
        <x:f aca="0">D12+D14</x:f>
        <x:v>476</x:v>
      </x:c>
      <x:c r="E15" s="35" t="n">
        <x:f aca="0">E12+E14</x:f>
        <x:v>1080</x:v>
      </x:c>
      <x:c r="F15" s="35" t="n">
        <x:f aca="0">F12+F14</x:f>
        <x:v>1612</x:v>
      </x:c>
      <x:c r="G15" s="35" t="n">
        <x:f aca="0">G12+G14</x:f>
        <x:v>1611</x:v>
      </x:c>
      <x:c r="H15" s="2"/>
      <x:c r="I15" s="2"/>
      <x:c r="J15" s="2"/>
    </x:row>
    <x:row r="16" ht="15" hidden="0">
      <x:c r="A16" s="2"/>
      <x:c r="B16" s="6" t="s">
        <x:v>23</x:v>
      </x:c>
      <x:c r="C16" s="35" t="n">
        <x:v>256</x:v>
      </x:c>
      <x:c r="D16" s="35" t="n">
        <x:v>-202</x:v>
      </x:c>
      <x:c r="E16" s="35" t="n">
        <x:v>502</x:v>
      </x:c>
      <x:c r="F16" s="35" t="n">
        <x:v>844</x:v>
      </x:c>
      <x:c r="G16" s="35" t="n">
        <x:v>816</x:v>
      </x:c>
      <x:c r="H16" s="2"/>
      <x:c r="I16" s="2"/>
      <x:c r="J16" s="2"/>
    </x:row>
    <x:row r="17" ht="15" hidden="0">
      <x:c r="A17" s="2"/>
      <x:c r="B17" s="7" t="s">
        <x:v>24</x:v>
      </x:c>
      <x:c r="C17" s="26" t="n">
        <x:v>0.67</x:v>
      </x:c>
      <x:c r="D17" s="26" t="n">
        <x:v>-0.55</x:v>
      </x:c>
      <x:c r="E17" s="26" t="n">
        <x:v>1.34</x:v>
      </x:c>
      <x:c r="F17" s="26" t="n">
        <x:v>2.2</x:v>
      </x:c>
      <x:c r="G17" s="26" t="n">
        <x:v>2.13</x:v>
      </x:c>
      <x:c r="H17" s="2"/>
      <x:c r="I17" s="2"/>
      <x:c r="J17" s="2"/>
    </x:row>
    <x:row r="18" ht="15" hidden="0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>
      <x:c r="A19" s="14" t="s">
        <x:v>25</x:v>
      </x:c>
      <x:c r="B19" s="14"/>
      <x:c r="C19" s="14"/>
      <x:c r="D19" s="14"/>
      <x:c r="E19" s="14"/>
      <x:c r="F19" s="14"/>
      <x:c r="G19" s="14"/>
      <x:c r="H19" s="14"/>
      <x:c r="I19" s="2"/>
      <x:c r="J19" s="2"/>
    </x:row>
    <x:row r="20" ht="15" hidden="0">
      <x:c r="A20" s="2"/>
      <x:c r="B20" s="7" t="s">
        <x:v>26</x:v>
      </x:c>
      <x:c r="C20" s="25" t="n">
        <x:v>809</x:v>
      </x:c>
      <x:c r="D20" s="25" t="n">
        <x:v>607</x:v>
      </x:c>
      <x:c r="E20" s="25" t="n">
        <x:v>1532</x:v>
      </x:c>
      <x:c r="F20" s="25" t="n">
        <x:v>1486</x:v>
      </x:c>
      <x:c r="G20" s="25" t="n">
        <x:v>1293</x:v>
      </x:c>
      <x:c r="H20" s="2"/>
      <x:c r="I20" s="2"/>
      <x:c r="J20" s="2"/>
    </x:row>
    <x:row r="21" ht="15" hidden="0">
      <x:c r="A21" s="2"/>
      <x:c r="B21" s="7" t="s">
        <x:v>27</x:v>
      </x:c>
      <x:c r="C21" s="25" t="n">
        <x:v>-694</x:v>
      </x:c>
      <x:c r="D21" s="25" t="n">
        <x:v>-685</x:v>
      </x:c>
      <x:c r="E21" s="25" t="n">
        <x:v>-420</x:v>
      </x:c>
      <x:c r="F21" s="25" t="n">
        <x:v>-447</x:v>
      </x:c>
      <x:c r="G21" s="25" t="n">
        <x:v>-470</x:v>
      </x:c>
      <x:c r="H21" s="2"/>
      <x:c r="I21" s="2"/>
      <x:c r="J21" s="2"/>
    </x:row>
    <x:row r="22" ht="15" hidden="0">
      <x:c r="A22" s="2"/>
      <x:c r="B22" s="6" t="s">
        <x:v>28</x:v>
      </x:c>
      <x:c r="C22" s="169" t="n">
        <x:f aca="0">C20+C21</x:f>
        <x:v>115</x:v>
      </x:c>
      <x:c r="D22" s="169" t="n">
        <x:f aca="0">D20+D21</x:f>
        <x:v>-78</x:v>
      </x:c>
      <x:c r="E22" s="169" t="n">
        <x:f aca="0">E20+E21</x:f>
        <x:v>1112</x:v>
      </x:c>
      <x:c r="F22" s="169" t="n">
        <x:f aca="0">F20+F21</x:f>
        <x:v>1039</x:v>
      </x:c>
      <x:c r="G22" s="169" t="n">
        <x:f aca="0">G20+G21</x:f>
        <x:v>823</x:v>
      </x:c>
      <x:c r="H22" s="2"/>
      <x:c r="I22" s="2"/>
      <x:c r="J22" s="2"/>
    </x:row>
    <x:row r="23" ht="15" hidden="0">
      <x:c r="A23" s="2"/>
      <x:c r="B23" s="7" t="s">
        <x:v>29</x:v>
      </x:c>
      <x:c r="C23" s="25" t="n">
        <x:v>139</x:v>
      </x:c>
      <x:c r="D23" s="25" t="n">
        <x:v>37</x:v>
      </x:c>
      <x:c r="E23" s="25" t="n">
        <x:v>80</x:v>
      </x:c>
      <x:c r="F23" s="25" t="n">
        <x:v>126</x:v>
      </x:c>
      <x:c r="G23" s="25" t="n">
        <x:v>162</x:v>
      </x:c>
      <x:c r="H23" s="2"/>
      <x:c r="I23" s="2"/>
      <x:c r="J23" s="2"/>
    </x:row>
    <x:row r="24" ht="15" hidden="0">
      <x:c r="A24" s="2"/>
      <x:c r="B24" s="7" t="s">
        <x:v>30</x:v>
      </x:c>
      <x:c r="C24" s="25" t="n">
        <x:v>-226</x:v>
      </x:c>
      <x:c r="D24" s="25" t="n">
        <x:v>-220</x:v>
      </x:c>
      <x:c r="E24" s="25" t="n">
        <x:v>-222</x:v>
      </x:c>
      <x:c r="F24" s="25" t="n">
        <x:v>-225</x:v>
      </x:c>
      <x:c r="G24" s="25" t="n">
        <x:v>-247</x:v>
      </x:c>
      <x:c r="H24" s="2"/>
      <x:c r="I24" s="2"/>
      <x:c r="J24" s="2"/>
    </x:row>
    <x:row r="25" ht="15" hidden="0">
      <x:c r="A25" s="2"/>
      <x:c r="B25" s="7" t="s">
        <x:v>31</x:v>
      </x:c>
      <x:c r="C25" s="25" t="n">
        <x:v>-237</x:v>
      </x:c>
      <x:c r="D25" s="25" t="n">
        <x:v>-143</x:v>
      </x:c>
      <x:c r="E25" s="25" t="n">
        <x:v>-20</x:v>
      </x:c>
      <x:c r="F25" s="171" t="n">
        <x:v>-75</x:v>
      </x:c>
      <x:c r="G25" s="171" t="n">
        <x:v>-155</x:v>
      </x:c>
      <x:c r="H25" s="2"/>
      <x:c r="I25" s="2"/>
      <x:c r="J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>
      <x:c r="A27" s="14" t="s">
        <x:v>32</x:v>
      </x:c>
      <x:c r="B27" s="14"/>
      <x:c r="C27" s="14"/>
      <x:c r="D27" s="14"/>
      <x:c r="E27" s="14"/>
      <x:c r="F27" s="14"/>
      <x:c r="G27" s="14"/>
      <x:c r="H27" s="14"/>
      <x:c r="I27" s="2"/>
      <x:c r="J27" s="2"/>
    </x:row>
    <x:row r="28" ht="15" hidden="0">
      <x:c r="A28" s="2"/>
      <x:c r="B28" s="7" t="s">
        <x:v>33</x:v>
      </x:c>
      <x:c r="C28" s="25" t="n">
        <x:v>877</x:v>
      </x:c>
      <x:c r="D28" s="25" t="n">
        <x:v>1215</x:v>
      </x:c>
      <x:c r="E28" s="25" t="n">
        <x:v>1873</x:v>
      </x:c>
      <x:c r="F28" s="25" t="n">
        <x:v>2335</x:v>
      </x:c>
      <x:c r="G28" s="25" t="n">
        <x:v>2616</x:v>
      </x:c>
      <x:c r="H28" s="2"/>
      <x:c r="I28" s="2"/>
      <x:c r="J28" s="2"/>
    </x:row>
    <x:row r="29" ht="15" hidden="0">
      <x:c r="A29" s="2"/>
      <x:c r="B29" s="7" t="s">
        <x:v>34</x:v>
      </x:c>
      <x:c r="C29" s="25" t="n">
        <x:v>0</x:v>
      </x:c>
      <x:c r="D29" s="25" t="n">
        <x:v>0</x:v>
      </x:c>
      <x:c r="E29" s="25" t="n">
        <x:v>0</x:v>
      </x:c>
      <x:c r="F29" s="25" t="n">
        <x:v>253</x:v>
      </x:c>
      <x:c r="G29" s="25" t="n">
        <x:v>386</x:v>
      </x:c>
      <x:c r="H29" s="2"/>
      <x:c r="I29" s="2"/>
      <x:c r="J29" s="2"/>
    </x:row>
    <x:row r="30" ht="15" hidden="0">
      <x:c r="A30" s="2"/>
      <x:c r="B30" s="7" t="s">
        <x:v>35</x:v>
      </x:c>
      <x:c r="C30" s="25" t="n">
        <x:v>399</x:v>
      </x:c>
      <x:c r="D30" s="25" t="n">
        <x:v>340</x:v>
      </x:c>
      <x:c r="E30" s="25" t="n">
        <x:v>289</x:v>
      </x:c>
      <x:c r="F30" s="25" t="n">
        <x:v>301</x:v>
      </x:c>
      <x:c r="G30" s="25" t="n">
        <x:v>316</x:v>
      </x:c>
      <x:c r="H30" s="2"/>
      <x:c r="I30" s="2"/>
      <x:c r="J30" s="2"/>
    </x:row>
    <x:row r="31" ht="15" hidden="0">
      <x:c r="A31" s="2"/>
      <x:c r="B31" s="7" t="s">
        <x:v>36</x:v>
      </x:c>
      <x:c r="C31" s="25" t="n">
        <x:v>3018</x:v>
      </x:c>
      <x:c r="D31" s="25" t="n">
        <x:v>2389</x:v>
      </x:c>
      <x:c r="E31" s="25" t="n">
        <x:v>1995</x:v>
      </x:c>
      <x:c r="F31" s="25" t="n">
        <x:v>2067</x:v>
      </x:c>
      <x:c r="G31" s="25" t="n">
        <x:v>2207</x:v>
      </x:c>
      <x:c r="H31" s="2"/>
      <x:c r="I31" s="2"/>
      <x:c r="J31" s="2"/>
    </x:row>
    <x:row r="32" ht="15" hidden="0">
      <x:c r="A32" s="2"/>
      <x:c r="B32" s="6" t="s">
        <x:v>37</x:v>
      </x:c>
      <x:c r="C32" s="35" t="n">
        <x:v>5165</x:v>
      </x:c>
      <x:c r="D32" s="35" t="n">
        <x:v>4617</x:v>
      </x:c>
      <x:c r="E32" s="35" t="n">
        <x:v>4395</x:v>
      </x:c>
      <x:c r="F32" s="35" t="n">
        <x:v>5203</x:v>
      </x:c>
      <x:c r="G32" s="35" t="n">
        <x:v>5777</x:v>
      </x:c>
      <x:c r="H32" s="2"/>
      <x:c r="I32" s="2"/>
      <x:c r="J32" s="2"/>
    </x:row>
    <x:row r="33" ht="15" hidden="0">
      <x:c r="A33" s="2"/>
      <x:c r="B33" s="7" t="s">
        <x:v>38</x:v>
      </x:c>
      <x:c r="C33" s="43" t="s">
        <x:v>39</x:v>
      </x:c>
      <x:c r="D33" s="43" t="s">
        <x:v>39</x:v>
      </x:c>
      <x:c r="E33" s="43" t="s">
        <x:v>39</x:v>
      </x:c>
      <x:c r="F33" s="25" t="n">
        <x:v>2496</x:v>
      </x:c>
      <x:c r="G33" s="25" t="n">
        <x:v>2507</x:v>
      </x:c>
      <x:c r="H33" s="2"/>
      <x:c r="I33" s="2"/>
      <x:c r="J33" s="2"/>
    </x:row>
    <x:row r="34" ht="15" hidden="0">
      <x:c r="A34" s="2"/>
      <x:c r="B34" s="7" t="s">
        <x:v>40</x:v>
      </x:c>
      <x:c r="C34" s="43" t="s">
        <x:v>39</x:v>
      </x:c>
      <x:c r="D34" s="43" t="s">
        <x:v>39</x:v>
      </x:c>
      <x:c r="E34" s="43" t="s">
        <x:v>39</x:v>
      </x:c>
      <x:c r="F34" s="25" t="n">
        <x:v>3240</x:v>
      </x:c>
      <x:c r="G34" s="25" t="n">
        <x:v>3443</x:v>
      </x:c>
      <x:c r="H34" s="2"/>
      <x:c r="I34" s="2"/>
      <x:c r="J34" s="2"/>
    </x:row>
    <x:row r="35" ht="15" hidden="0">
      <x:c r="A35" s="2"/>
      <x:c r="B35" s="7" t="s">
        <x:v>41</x:v>
      </x:c>
      <x:c r="C35" s="25" t="n">
        <x:v>207</x:v>
      </x:c>
      <x:c r="D35" s="25" t="n">
        <x:v>207</x:v>
      </x:c>
      <x:c r="E35" s="25" t="n">
        <x:v>207</x:v>
      </x:c>
      <x:c r="F35" s="25" t="n">
        <x:v>207</x:v>
      </x:c>
      <x:c r="G35" s="25" t="n">
        <x:v>207</x:v>
      </x:c>
      <x:c r="H35" s="2"/>
      <x:c r="I35" s="2"/>
      <x:c r="J35" s="2"/>
    </x:row>
    <x:row r="36" ht="15" hidden="0">
      <x:c r="A36" s="2"/>
      <x:c r="B36" s="6" t="s">
        <x:v>42</x:v>
      </x:c>
      <x:c r="C36" s="35" t="n">
        <x:v>12761</x:v>
      </x:c>
      <x:c r="D36" s="35" t="n">
        <x:v>11386</x:v>
      </x:c>
      <x:c r="E36" s="35" t="n">
        <x:v>11044</x:v>
      </x:c>
      <x:c r="F36" s="35" t="n">
        <x:v>11885</x:v>
      </x:c>
      <x:c r="G36" s="35" t="n">
        <x:v>12632</x:v>
      </x:c>
      <x:c r="H36" s="2"/>
      <x:c r="I36" s="2"/>
      <x:c r="J36" s="2"/>
    </x:row>
    <x:row r="37" ht="15" hidden="0">
      <x:c r="A37" s="2"/>
      <x:c r="B37" s="7" t="s">
        <x:v>43</x:v>
      </x:c>
      <x:c r="C37" s="25" t="n">
        <x:v>4077</x:v>
      </x:c>
      <x:c r="D37" s="25" t="n">
        <x:v>3256</x:v>
      </x:c>
      <x:c r="E37" s="25" t="n">
        <x:v>3096</x:v>
      </x:c>
      <x:c r="F37" s="25" t="n">
        <x:v>3256</x:v>
      </x:c>
      <x:c r="G37" s="25" t="n">
        <x:v>3300</x:v>
      </x:c>
      <x:c r="H37" s="2"/>
      <x:c r="I37" s="2"/>
      <x:c r="J37" s="2"/>
    </x:row>
    <x:row r="38" ht="15" hidden="0">
      <x:c r="A38" s="2"/>
      <x:c r="B38" s="7" t="s">
        <x:v>44</x:v>
      </x:c>
      <x:c r="C38" s="25" t="n">
        <x:v>1484</x:v>
      </x:c>
      <x:c r="D38" s="25" t="n">
        <x:v>1836</x:v>
      </x:c>
      <x:c r="E38" s="25" t="n">
        <x:v>1488</x:v>
      </x:c>
      <x:c r="F38" s="25" t="n">
        <x:v>1490</x:v>
      </x:c>
      <x:c r="G38" s="25" t="n">
        <x:v>1492</x:v>
      </x:c>
      <x:c r="H38" s="2"/>
      <x:c r="I38" s="2"/>
      <x:c r="J38" s="2"/>
    </x:row>
    <x:row r="39" ht="15" hidden="0">
      <x:c r="A39" s="2"/>
      <x:c r="B39" s="7" t="s">
        <x:v>45</x:v>
      </x:c>
      <x:c r="C39" s="25" t="n">
        <x:v>4033</x:v>
      </x:c>
      <x:c r="D39" s="25" t="n">
        <x:v>3517</x:v>
      </x:c>
      <x:c r="E39" s="25" t="n">
        <x:v>3353</x:v>
      </x:c>
      <x:c r="F39" s="25" t="n">
        <x:v>3353</x:v>
      </x:c>
      <x:c r="G39" s="25" t="n">
        <x:v>3485</x:v>
      </x:c>
      <x:c r="H39" s="2"/>
      <x:c r="I39" s="2"/>
      <x:c r="J39" s="2"/>
    </x:row>
    <x:row r="40" ht="15" hidden="0">
      <x:c r="A40" s="2"/>
      <x:c r="B40" s="6" t="s">
        <x:v>46</x:v>
      </x:c>
      <x:c r="C40" s="35" t="n">
        <x:v>10039</x:v>
      </x:c>
      <x:c r="D40" s="35" t="n">
        <x:v>9153</x:v>
      </x:c>
      <x:c r="E40" s="35" t="n">
        <x:v>8449</x:v>
      </x:c>
      <x:c r="F40" s="35" t="n">
        <x:v>8621</x:v>
      </x:c>
      <x:c r="G40" s="35" t="n">
        <x:v>8831</x:v>
      </x:c>
      <x:c r="H40" s="2"/>
      <x:c r="I40" s="2"/>
      <x:c r="J40" s="2"/>
    </x:row>
    <x:row r="41" ht="15" hidden="0">
      <x:c r="A41" s="2"/>
      <x:c r="B41" s="6" t="s">
        <x:v>47</x:v>
      </x:c>
      <x:c r="C41" s="35" t="n">
        <x:v>2722</x:v>
      </x:c>
      <x:c r="D41" s="35" t="n">
        <x:v>2233</x:v>
      </x:c>
      <x:c r="E41" s="35" t="n">
        <x:v>2595</x:v>
      </x:c>
      <x:c r="F41" s="35" t="n">
        <x:v>3264</x:v>
      </x:c>
      <x:c r="G41" s="35" t="n">
        <x:v>3801</x:v>
      </x:c>
      <x:c r="H41" s="2"/>
      <x:c r="I41" s="2"/>
      <x:c r="J41" s="2"/>
    </x:row>
    <x:row r="42" ht="15" hidden="0">
      <x:c r="A42" s="2"/>
      <x:c r="B42" s="6" t="s">
        <x:v>48</x:v>
      </x:c>
      <x:c r="C42" s="44" t="n">
        <x:f aca="0">C36-C40-C41</x:f>
        <x:v>0</x:v>
      </x:c>
      <x:c r="D42" s="44" t="n">
        <x:f aca="0">D36-D40-D41</x:f>
        <x:v>0</x:v>
      </x:c>
      <x:c r="E42" s="44" t="n">
        <x:f aca="0">E36-E40-E41</x:f>
        <x:v>0</x:v>
      </x:c>
      <x:c r="F42" s="44" t="n">
        <x:f aca="0">F36-F40-F41</x:f>
        <x:v>0</x:v>
      </x:c>
      <x:c r="G42" s="44" t="n">
        <x:f aca="0">G36-G40-G41</x:f>
        <x:v>0</x:v>
      </x:c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14" t="s">
        <x:v>49</x:v>
      </x:c>
      <x:c r="B44" s="14"/>
      <x:c r="C44" s="14"/>
      <x:c r="D44" s="14"/>
      <x:c r="E44" s="14"/>
      <x:c r="F44" s="14"/>
      <x:c r="G44" s="14"/>
      <x:c r="H44" s="14"/>
      <x:c r="I44" s="2"/>
      <x:c r="J44" s="2"/>
    </x:row>
    <x:row r="45" ht="15" hidden="0">
      <x:c r="A45" s="2"/>
      <x:c r="B45" s="6" t="s">
        <x:v>50</x:v>
      </x:c>
      <x:c r="C45" s="17" t="s">
        <x:v>7</x:v>
      </x:c>
      <x:c r="D45" s="17" t="s">
        <x:v>8</x:v>
      </x:c>
      <x:c r="E45" s="17" t="s">
        <x:v>51</x:v>
      </x:c>
      <x:c r="F45" s="2"/>
      <x:c r="G45" s="2"/>
      <x:c r="H45" s="2"/>
      <x:c r="I45" s="2"/>
      <x:c r="J45" s="2"/>
    </x:row>
    <x:row r="46" ht="15" hidden="0">
      <x:c r="A46" s="2"/>
      <x:c r="B46" s="7" t="s">
        <x:v>52</x:v>
      </x:c>
      <x:c r="C46" s="25" t="n">
        <x:v>8401</x:v>
      </x:c>
      <x:c r="D46" s="25" t="n">
        <x:v>8657</x:v>
      </x:c>
      <x:c r="E46" s="45" t="n">
        <x:v>0.03</x:v>
      </x:c>
      <x:c r="F46" s="2"/>
      <x:c r="G46" s="2"/>
      <x:c r="H46" s="2"/>
      <x:c r="I46" s="2"/>
      <x:c r="J46" s="2"/>
    </x:row>
    <x:row r="47" ht="15" hidden="0">
      <x:c r="A47" s="2"/>
      <x:c r="B47" s="7" t="s">
        <x:v>53</x:v>
      </x:c>
      <x:c r="C47" s="25" t="n">
        <x:v>3334</x:v>
      </x:c>
      <x:c r="D47" s="25" t="n">
        <x:v>3501</x:v>
      </x:c>
      <x:c r="E47" s="45" t="n">
        <x:v>0.06</x:v>
      </x:c>
      <x:c r="F47" s="2"/>
      <x:c r="G47" s="2"/>
      <x:c r="H47" s="2"/>
      <x:c r="I47" s="2"/>
      <x:c r="J47" s="2"/>
    </x:row>
    <x:row r="48" ht="15" hidden="0">
      <x:c r="A48" s="2"/>
      <x:c r="B48" s="7" t="s">
        <x:v>54</x:v>
      </x:c>
      <x:c r="C48" s="25" t="n">
        <x:v>1933</x:v>
      </x:c>
      <x:c r="D48" s="25" t="n">
        <x:v>1916</x:v>
      </x:c>
      <x:c r="E48" s="45" t="n">
        <x:v>0.03</x:v>
      </x:c>
      <x:c r="F48" s="2"/>
      <x:c r="G48" s="2"/>
      <x:c r="H48" s="2"/>
      <x:c r="I48" s="2"/>
      <x:c r="J48" s="2"/>
    </x:row>
    <x:row r="49" ht="15" hidden="0">
      <x:c r="A49" s="2"/>
      <x:c r="B49" s="7" t="s">
        <x:v>55</x:v>
      </x:c>
      <x:c r="C49" s="25" t="n">
        <x:v>1353</x:v>
      </x:c>
      <x:c r="D49" s="25" t="n">
        <x:v>1219</x:v>
      </x:c>
      <x:c r="E49" s="45" t="n">
        <x:v>-0.09</x:v>
      </x:c>
      <x:c r="F49" s="2"/>
      <x:c r="G49" s="2"/>
      <x:c r="H49" s="2"/>
      <x:c r="I49" s="2"/>
      <x:c r="J49" s="2"/>
    </x:row>
    <x:row r="50" ht="15" hidden="0">
      <x:c r="A50" s="2"/>
      <x:c r="B50" s="7" t="s">
        <x:v>56</x:v>
      </x:c>
      <x:c r="C50" s="25" t="n">
        <x:v>65</x:v>
      </x:c>
      <x:c r="D50" s="25" t="n">
        <x:v>73</x:v>
      </x:c>
      <x:c r="E50" s="46" t="s">
        <x:v>39</x:v>
      </x:c>
      <x:c r="F50" s="2"/>
      <x:c r="G50" s="2"/>
      <x:c r="H50" s="2"/>
      <x:c r="I50" s="2"/>
      <x:c r="J50" s="2"/>
    </x:row>
    <x:row r="51" ht="15" hidden="0">
      <x:c r="A51" s="2"/>
      <x:c r="B51" s="6" t="s">
        <x:v>57</x:v>
      </x:c>
      <x:c r="C51" s="35" t="n">
        <x:f aca="0">SUM(C46:C50)</x:f>
        <x:v>15086</x:v>
      </x:c>
      <x:c r="D51" s="35" t="n">
        <x:f aca="0">SUM(D46:D50)</x:f>
        <x:v>15366</x:v>
      </x:c>
      <x:c r="E51" s="32" t="n">
        <x:v>0.03</x:v>
      </x:c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175" t="str">
        <x:v>Historical figures provide context. Forecast drivers use the latest financial inputs in Verified Inputs. Assumption: prior-period reference figures are used as presented. Reported D&amp;A and peer EBITDA may use different lease definitions.</x:v>
      </x:c>
      <x:c r="C55" s="175"/>
      <x:c r="D55" s="175"/>
      <x:c r="E55" s="175"/>
      <x:c r="F55" s="175"/>
      <x:c r="G55" s="175"/>
      <x:c r="H55" s="175"/>
      <x:c r="I55" s="175"/>
      <x:c r="J55" s="175"/>
    </x:row>
    <x:row r="56" ht="15" hidden="0">
      <x:c r="A56" s="2"/>
      <x:c r="B56" s="175"/>
      <x:c r="C56" s="175"/>
      <x:c r="D56" s="175"/>
      <x:c r="E56" s="175"/>
      <x:c r="F56" s="175"/>
      <x:c r="G56" s="175"/>
      <x:c r="H56" s="175"/>
      <x:c r="I56" s="175"/>
      <x:c r="J56" s="175"/>
    </x:row>
    <x:row r="57" ht="15" hidden="0">
      <x:c r="A57" s="2"/>
      <x:c r="B57" s="175"/>
      <x:c r="C57" s="175"/>
      <x:c r="D57" s="175"/>
      <x:c r="E57" s="175"/>
      <x:c r="F57" s="175"/>
      <x:c r="G57" s="175"/>
      <x:c r="H57" s="175"/>
      <x:c r="I57" s="175"/>
      <x:c r="J57" s="175"/>
    </x:row>
    <x:row r="58" ht="15" hidden="0">
      <x:c r="A58" s="2"/>
      <x:c r="B58" s="175"/>
      <x:c r="C58" s="175"/>
      <x:c r="D58" s="175"/>
      <x:c r="E58" s="175"/>
      <x:c r="F58" s="175"/>
      <x:c r="G58" s="175"/>
      <x:c r="H58" s="175"/>
      <x:c r="I58" s="175"/>
      <x:c r="J58" s="175"/>
    </x:row>
    <x:row r="59" ht="15" hidden="0">
      <x:c r="A59" s="2"/>
      <x:c r="B59" s="175"/>
      <x:c r="C59" s="175"/>
      <x:c r="D59" s="175"/>
      <x:c r="E59" s="175"/>
      <x:c r="F59" s="175"/>
      <x:c r="G59" s="175"/>
      <x:c r="H59" s="175"/>
      <x:c r="I59" s="175"/>
      <x:c r="J59" s="175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H1"/>
    <x:mergeCell ref="A2:H2"/>
    <x:mergeCell ref="A4:H4"/>
    <x:mergeCell ref="A19:H19"/>
    <x:mergeCell ref="A27:H27"/>
    <x:mergeCell ref="A44:H44"/>
    <x:mergeCell ref="B55:J5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OPERATING FORECAST | CASH AND EARNINGS</x:v>
      </x:c>
      <x:c r="B1" s="134"/>
      <x:c r="C1" s="134"/>
      <x:c r="D1" s="134"/>
      <x:c r="E1" s="134"/>
      <x:c r="F1" s="134"/>
      <x:c r="G1" s="134"/>
      <x:c r="H1" s="134"/>
      <x:c r="I1" s="88"/>
      <x:c r="J1" s="88"/>
    </x:row>
    <x:row r="2" ht="19" hidden="0" customHeight="1">
      <x:c r="A2" s="136" t="str">
        <x:v>First column is H2 only; later columns are full fiscal years. Operating lease assets/liabilities are held flat; rent remains an expense.</x:v>
      </x:c>
      <x:c r="B2" s="136"/>
      <x:c r="C2" s="136"/>
      <x:c r="D2" s="136"/>
      <x:c r="E2" s="136"/>
      <x:c r="F2" s="136"/>
      <x:c r="G2" s="136"/>
      <x:c r="H2" s="136"/>
      <x:c r="I2" s="90"/>
      <x:c r="J2" s="90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</x:row>
    <x:row r="5" ht="19" hidden="0" customHeight="1">
      <x:c r="A5" s="86"/>
      <x:c r="B5" s="86" t="str">
        <x:v>Fiscal period</x:v>
      </x:c>
      <x:c r="C5" s="185" t="str">
        <x:v>H2 FY2026E</x:v>
      </x:c>
      <x:c r="D5" s="86" t="str">
        <x:v>FY2027E</x:v>
      </x:c>
      <x:c r="E5" s="86" t="str">
        <x:v>FY2028E</x:v>
      </x:c>
      <x:c r="F5" s="86" t="str">
        <x:v>FY2029E</x:v>
      </x:c>
      <x:c r="G5" s="86" t="str">
        <x:v>FY2030E</x:v>
      </x:c>
      <x:c r="H5" s="86"/>
      <x:c r="I5" s="86"/>
      <x:c r="J5" s="86"/>
    </x:row>
    <x:row r="6" ht="19" hidden="0" customHeight="1">
      <x:c r="A6" s="86"/>
      <x:c r="B6" s="86" t="str">
        <x:v>Period end</x:v>
      </x:c>
      <x:c r="C6" s="189" t="n">
        <x:v>46417</x:v>
      </x:c>
      <x:c r="D6" s="91" t="n">
        <x:v>46781</x:v>
      </x:c>
      <x:c r="E6" s="91" t="n">
        <x:v>47152</x:v>
      </x:c>
      <x:c r="F6" s="91" t="n">
        <x:v>47516</x:v>
      </x:c>
      <x:c r="G6" s="91" t="n">
        <x:v>47880</x:v>
      </x:c>
      <x:c r="H6" s="86"/>
      <x:c r="I6" s="86"/>
      <x:c r="J6" s="86"/>
    </x:row>
    <x:row r="7" ht="19" hidden="0" customHeight="1">
      <x:c r="A7" s="86"/>
      <x:c r="B7" s="86" t="str">
        <x:v>Period length in years</x:v>
      </x:c>
      <x:c r="C7" s="191" t="n">
        <x:f>(C6-'Verified Inputs'!$C$6)/365</x:f>
        <x:v>0.4986301369863014</x:v>
      </x:c>
      <x:c r="D7" s="190" t="n">
        <x:f>(D6-C6)/365</x:f>
        <x:v>0.9972602739726028</x:v>
      </x:c>
      <x:c r="E7" s="190" t="n">
        <x:f>(E6-D6)/365</x:f>
        <x:v>1.0164383561643835</x:v>
      </x:c>
      <x:c r="F7" s="190" t="n">
        <x:f>(F6-E6)/365</x:f>
        <x:v>0.9972602739726028</x:v>
      </x:c>
      <x:c r="G7" s="190" t="n">
        <x:f>(G6-F6)/365</x:f>
        <x:v>0.9972602739726028</x:v>
      </x:c>
      <x:c r="H7" s="86"/>
      <x:c r="I7" s="86"/>
      <x:c r="J7" s="86"/>
    </x:row>
    <x:row r="8" ht="24" hidden="0" customHeight="1">
      <x:c r="A8" s="109"/>
      <x:c r="B8" s="103" t="str">
        <x:v>Revenue and operating earnings</x:v>
      </x:c>
      <x:c r="C8" s="103"/>
      <x:c r="D8" s="103"/>
      <x:c r="E8" s="103"/>
      <x:c r="F8" s="103"/>
      <x:c r="G8" s="103"/>
      <x:c r="H8" s="103"/>
      <x:c r="I8" s="103"/>
      <x:c r="J8" s="103"/>
    </x:row>
    <x:row r="9" ht="19" hidden="0" customHeight="1">
      <x:c r="A9" s="86"/>
      <x:c r="B9" s="109" t="str">
        <x:v>Full-year revenue equivalent</x:v>
      </x:c>
      <x:c r="C9" s="192" t="n">
        <x:f>'Verified Inputs'!$C$36+('Verified Inputs'!$C$41-'Verified Inputs'!$C$57-'Verified Inputs'!$C$36)*(1+'Assumptions'!$F$10)</x:f>
        <x:v>15558.074999999999</x:v>
      </x:c>
      <x:c r="D9" s="192" t="n">
        <x:f>(C9-0)*(1+'Assumptions'!$F$11)+0</x:f>
        <x:v>15869.236499999999</x:v>
      </x:c>
      <x:c r="E9" s="192" t="n">
        <x:f>(D9-0)*(1+'Assumptions'!$F$11)+0</x:f>
        <x:v>16186.621229999999</x:v>
      </x:c>
      <x:c r="F9" s="192" t="n">
        <x:f>(E9-0)*(1+'Assumptions'!$F$11)+0</x:f>
        <x:v>16510.3536546</x:v>
      </x:c>
      <x:c r="G9" s="192" t="n">
        <x:f>(F9-0)*(1+'Assumptions'!$F$11)+0</x:f>
        <x:v>16840.560727692</x:v>
      </x:c>
      <x:c r="H9" s="86"/>
      <x:c r="I9" s="86"/>
      <x:c r="J9" s="86"/>
    </x:row>
    <x:row r="10" ht="19" hidden="0" customHeight="1">
      <x:c r="A10" s="86"/>
      <x:c r="B10" s="86" t="str">
        <x:v>Core revenue in this period</x:v>
      </x:c>
      <x:c r="C10" s="194" t="n">
        <x:f>C9-'Verified Inputs'!$C$36</x:f>
        <x:v>8410.074999999999</x:v>
      </x:c>
      <x:c r="D10" s="193" t="n">
        <x:f>D9</x:f>
        <x:v>15869.236499999999</x:v>
      </x:c>
      <x:c r="E10" s="193" t="n">
        <x:f>E9</x:f>
        <x:v>16186.621229999999</x:v>
      </x:c>
      <x:c r="F10" s="193" t="n">
        <x:f>F9</x:f>
        <x:v>16510.3536546</x:v>
      </x:c>
      <x:c r="G10" s="193" t="n">
        <x:f>G9</x:f>
        <x:v>16840.560727692</x:v>
      </x:c>
      <x:c r="H10" s="86"/>
      <x:c r="I10" s="86"/>
      <x:c r="J10" s="86"/>
    </x:row>
    <x:row r="11" ht="19" hidden="0" customHeight="1">
      <x:c r="A11" s="86"/>
      <x:c r="B11" s="109" t="str">
        <x:v>Services revenue in this period</x:v>
      </x:c>
      <x:c r="C11" s="145" t="n">
        <x:f aca="0">0</x:f>
        <x:v>0</x:v>
      </x:c>
      <x:c r="D11" s="145" t="n">
        <x:f aca="0">0</x:f>
        <x:v>0</x:v>
      </x:c>
      <x:c r="E11" s="145" t="n">
        <x:f aca="0">0</x:f>
        <x:v>0</x:v>
      </x:c>
      <x:c r="F11" s="145" t="n">
        <x:f aca="0">0</x:f>
        <x:v>0</x:v>
      </x:c>
      <x:c r="G11" s="145" t="n">
        <x:f aca="0">0</x:f>
        <x:v>0</x:v>
      </x:c>
      <x:c r="H11" s="86"/>
      <x:c r="I11" s="86"/>
      <x:c r="J11" s="86"/>
    </x:row>
    <x:row r="12" ht="19" hidden="0" customHeight="1">
      <x:c r="A12" s="86"/>
      <x:c r="B12" s="202" t="str">
        <x:v>Total period revenue</x:v>
      </x:c>
      <x:c r="C12" s="203" t="n">
        <x:f aca="0">C10+C11</x:f>
        <x:v>8410.074999999999</x:v>
      </x:c>
      <x:c r="D12" s="203" t="n">
        <x:f aca="0">D10+D11</x:f>
        <x:v>15869.236499999999</x:v>
      </x:c>
      <x:c r="E12" s="203" t="n">
        <x:f aca="0">E10+E11</x:f>
        <x:v>16186.621229999999</x:v>
      </x:c>
      <x:c r="F12" s="203" t="n">
        <x:f aca="0">F10+F11</x:f>
        <x:v>16510.3536546</x:v>
      </x:c>
      <x:c r="G12" s="203" t="n">
        <x:f aca="0">G10+G11</x:f>
        <x:v>16840.560727692</x:v>
      </x:c>
      <x:c r="H12" s="86"/>
      <x:c r="I12" s="86"/>
      <x:c r="J12" s="86"/>
    </x:row>
    <x:row r="13" ht="19" hidden="0" customHeight="1">
      <x:c r="A13" s="86"/>
      <x:c r="B13" s="86" t="str">
        <x:v>Full-year margin target before SBC change</x:v>
      </x:c>
      <x:c r="C13" s="195" t="n">
        <x:f aca="0">'Assumptions'!$F$12+0*'Assumptions'!$F$13</x:f>
        <x:v>0.075</x:v>
      </x:c>
      <x:c r="D13" s="195" t="n">
        <x:f aca="0">'Assumptions'!$F$12+1*'Assumptions'!$F$13</x:f>
        <x:v>0.075</x:v>
      </x:c>
      <x:c r="E13" s="195" t="n">
        <x:f aca="0">'Assumptions'!$F$12+2*'Assumptions'!$F$13</x:f>
        <x:v>0.075</x:v>
      </x:c>
      <x:c r="F13" s="195" t="n">
        <x:f aca="0">'Assumptions'!$F$12+3*'Assumptions'!$F$13</x:f>
        <x:v>0.075</x:v>
      </x:c>
      <x:c r="G13" s="195" t="n">
        <x:f aca="0">'Assumptions'!$F$12+4*'Assumptions'!$F$13</x:f>
        <x:v>0.075</x:v>
      </x:c>
      <x:c r="H13" s="86"/>
      <x:c r="I13" s="86"/>
      <x:c r="J13" s="86"/>
    </x:row>
    <x:row r="14" ht="19" hidden="0" customHeight="1">
      <x:c r="A14" s="86"/>
      <x:c r="B14" s="109" t="str">
        <x:v>SBC change vs base expense</x:v>
      </x:c>
      <x:c r="C14" s="192" t="n">
        <x:f aca="0">C12*('Assumptions'!$F$20-'Verified Inputs'!$C$52)</x:f>
        <x:v>0</x:v>
      </x:c>
      <x:c r="D14" s="192" t="n">
        <x:f aca="0">D12*('Assumptions'!$F$20-'Verified Inputs'!$C$52)</x:f>
        <x:v>0</x:v>
      </x:c>
      <x:c r="E14" s="192" t="n">
        <x:f aca="0">E12*('Assumptions'!$F$20-'Verified Inputs'!$C$52)</x:f>
        <x:v>0</x:v>
      </x:c>
      <x:c r="F14" s="192" t="n">
        <x:f aca="0">F12*('Assumptions'!$F$20-'Verified Inputs'!$C$52)</x:f>
        <x:v>0</x:v>
      </x:c>
      <x:c r="G14" s="192" t="n">
        <x:f aca="0">G12*('Assumptions'!$F$20-'Verified Inputs'!$C$52)</x:f>
        <x:v>0</x:v>
      </x:c>
      <x:c r="H14" s="86"/>
      <x:c r="I14" s="86"/>
      <x:c r="J14" s="86"/>
    </x:row>
    <x:row r="15" ht="19" hidden="0" customHeight="1">
      <x:c r="A15" s="86"/>
      <x:c r="B15" s="202" t="str">
        <x:v>Operating income after SBC</x:v>
      </x:c>
      <x:c r="C15" s="205" t="n">
        <x:f aca="0">C9*C13-('Verified Inputs'!$C$37-'Verified Inputs'!$C$38)-C14</x:f>
        <x:v>725.8556249999999</x:v>
      </x:c>
      <x:c r="D15" s="203" t="n">
        <x:f aca="0">D12*D13-D14</x:f>
        <x:v>1190.1927374999998</x:v>
      </x:c>
      <x:c r="E15" s="203" t="n">
        <x:f aca="0">E12*E13-E14</x:f>
        <x:v>1213.9965922499998</x:v>
      </x:c>
      <x:c r="F15" s="203" t="n">
        <x:f aca="0">F12*F13-F14</x:f>
        <x:v>1238.276524095</x:v>
      </x:c>
      <x:c r="G15" s="203" t="n">
        <x:f aca="0">G12*G13-G14</x:f>
        <x:v>1263.0420545768998</x:v>
      </x:c>
      <x:c r="H15" s="86"/>
      <x:c r="I15" s="86"/>
      <x:c r="J15" s="86"/>
    </x:row>
    <x:row r="16" ht="19" hidden="0" customHeight="1">
      <x:c r="A16" s="86"/>
      <x:c r="B16" s="86" t="str">
        <x:v>Operating margin in this period</x:v>
      </x:c>
      <x:c r="C16" s="138" t="n">
        <x:f aca="0">IF(C12&gt;0,C15/C12,0)</x:f>
        <x:v>0.08630786586326519</x:v>
      </x:c>
      <x:c r="D16" s="138" t="n">
        <x:f aca="0">IF(D12&gt;0,D15/D12,0)</x:f>
        <x:v>0.075</x:v>
      </x:c>
      <x:c r="E16" s="138" t="n">
        <x:f aca="0">IF(E12&gt;0,E15/E12,0)</x:f>
        <x:v>0.075</x:v>
      </x:c>
      <x:c r="F16" s="138" t="n">
        <x:f aca="0">IF(F12&gt;0,F15/F12,0)</x:f>
        <x:v>0.075</x:v>
      </x:c>
      <x:c r="G16" s="138" t="n">
        <x:f aca="0">IF(G12&gt;0,G15/G12,0)</x:f>
        <x:v>0.075</x:v>
      </x:c>
      <x:c r="H16" s="86"/>
      <x:c r="I16" s="86"/>
      <x:c r="J16" s="86"/>
    </x:row>
    <x:row r="17" ht="19" hidden="0" customHeight="1">
      <x:c r="A17" s="86"/>
      <x:c r="B17" s="109" t="str">
        <x:v>PP&amp;E depreciation</x:v>
      </x:c>
      <x:c r="C17" s="192" t="n">
        <x:f aca="0">MIN(MAX(0,'Verified Inputs'!$C$20+C35),MAX(0,C12*'Assumptions'!$F$15))</x:f>
        <x:v>269.12239999999997</x:v>
      </x:c>
      <x:c r="D17" s="192" t="n">
        <x:f aca="0">MIN(MAX(0,C36+D35),MAX(0,D12*'Assumptions'!$F$15))</x:f>
        <x:v>507.815568</x:v>
      </x:c>
      <x:c r="E17" s="192" t="n">
        <x:f aca="0">MIN(MAX(0,D36+E35),MAX(0,E12*'Assumptions'!$F$15))</x:f>
        <x:v>517.97187936</x:v>
      </x:c>
      <x:c r="F17" s="192" t="n">
        <x:f aca="0">MIN(MAX(0,E36+F35),MAX(0,F12*'Assumptions'!$F$15))</x:f>
        <x:v>528.3313169472</x:v>
      </x:c>
      <x:c r="G17" s="192" t="n">
        <x:f aca="0">MIN(MAX(0,F36+G35),MAX(0,G12*'Assumptions'!$F$15))</x:f>
        <x:v>538.8979432861439</x:v>
      </x:c>
      <x:c r="H17" s="86"/>
      <x:c r="I17" s="86"/>
      <x:c r="J17" s="86"/>
    </x:row>
    <x:row r="18" ht="19" hidden="0" customHeight="1">
      <x:c r="A18" s="86"/>
      <x:c r="B18" s="123" t="str">
        <x:v>Acquired-intangible amortization</x:v>
      </x:c>
      <x:c r="C18" s="194" t="n">
        <x:f aca="0">MIN(MAX(0,'Verified Inputs'!$C$21),'Verified Inputs'!$C$21/'Verified Inputs'!$C$51*C7)</x:f>
        <x:v>0</x:v>
      </x:c>
      <x:c r="D18" s="194" t="n">
        <x:f aca="0">MIN(MAX(0,C37),'Verified Inputs'!$C$21/'Verified Inputs'!$C$51*D7)</x:f>
        <x:v>0</x:v>
      </x:c>
      <x:c r="E18" s="194" t="n">
        <x:f aca="0">MIN(MAX(0,D37),'Verified Inputs'!$C$21/'Verified Inputs'!$C$51*E7)</x:f>
        <x:v>0</x:v>
      </x:c>
      <x:c r="F18" s="194" t="n">
        <x:f aca="0">MIN(MAX(0,E37),'Verified Inputs'!$C$21/'Verified Inputs'!$C$51*F7)</x:f>
        <x:v>0</x:v>
      </x:c>
      <x:c r="G18" s="194" t="n">
        <x:f aca="0">MIN(MAX(0,F37),'Verified Inputs'!$C$21/'Verified Inputs'!$C$51*G7)</x:f>
        <x:v>0</x:v>
      </x:c>
      <x:c r="H18" s="86"/>
      <x:c r="I18" s="86"/>
      <x:c r="J18" s="86"/>
    </x:row>
    <x:row r="19" ht="19" hidden="0" customHeight="1">
      <x:c r="A19" s="86"/>
      <x:c r="B19" s="86" t="str">
        <x:v>D&amp;A excluding operating lease assets</x:v>
      </x:c>
      <x:c r="C19" s="142" t="n">
        <x:f aca="0">C17+C18</x:f>
        <x:v>269.12239999999997</x:v>
      </x:c>
      <x:c r="D19" s="142" t="n">
        <x:f aca="0">D17+D18</x:f>
        <x:v>507.815568</x:v>
      </x:c>
      <x:c r="E19" s="142" t="n">
        <x:f aca="0">E17+E18</x:f>
        <x:v>517.97187936</x:v>
      </x:c>
      <x:c r="F19" s="142" t="n">
        <x:f aca="0">F17+F18</x:f>
        <x:v>528.3313169472</x:v>
      </x:c>
      <x:c r="G19" s="142" t="n">
        <x:f aca="0">G17+G18</x:f>
        <x:v>538.8979432861439</x:v>
      </x:c>
      <x:c r="H19" s="86"/>
      <x:c r="I19" s="86"/>
      <x:c r="J19" s="86"/>
    </x:row>
    <x:row r="20" ht="19" hidden="0" customHeight="1">
      <x:c r="A20" s="86"/>
      <x:c r="B20" s="206" t="str">
        <x:v>EBITDA after rent and SBC</x:v>
      </x:c>
      <x:c r="C20" s="207" t="n">
        <x:f aca="0">C15+C19</x:f>
        <x:v>994.9780249999999</x:v>
      </x:c>
      <x:c r="D20" s="207" t="n">
        <x:f aca="0">D15+D19</x:f>
        <x:v>1698.0083054999998</x:v>
      </x:c>
      <x:c r="E20" s="207" t="n">
        <x:f aca="0">E15+E19</x:f>
        <x:v>1731.9684716099998</x:v>
      </x:c>
      <x:c r="F20" s="207" t="n">
        <x:f aca="0">F15+F19</x:f>
        <x:v>1766.6078410422</x:v>
      </x:c>
      <x:c r="G20" s="207" t="n">
        <x:f aca="0">G15+G19</x:f>
        <x:v>1801.9399978630436</x:v>
      </x:c>
      <x:c r="H20" s="86"/>
      <x:c r="I20" s="86"/>
      <x:c r="J20" s="86"/>
    </x:row>
    <x:row r="21" ht="19" hidden="0" customHeight="1">
      <x:c r="A21" s="86"/>
      <x:c r="B21" s="86" t="str">
        <x:v>SBC economic expense</x:v>
      </x:c>
      <x:c r="C21" s="196" t="n">
        <x:f aca="0">C12*'Assumptions'!$F$20</x:f>
        <x:v>88.3057875</x:v>
      </x:c>
      <x:c r="D21" s="196" t="n">
        <x:f aca="0">D12*'Assumptions'!$F$20</x:f>
        <x:v>166.62698325</x:v>
      </x:c>
      <x:c r="E21" s="196" t="n">
        <x:f aca="0">E12*'Assumptions'!$F$20</x:f>
        <x:v>169.959522915</x:v>
      </x:c>
      <x:c r="F21" s="196" t="n">
        <x:f aca="0">F12*'Assumptions'!$F$20</x:f>
        <x:v>173.35871337330002</x:v>
      </x:c>
      <x:c r="G21" s="196" t="n">
        <x:f aca="0">G12*'Assumptions'!$F$20</x:f>
        <x:v>176.82588764076598</x:v>
      </x:c>
      <x:c r="H21" s="86"/>
      <x:c r="I21" s="86"/>
      <x:c r="J21" s="86"/>
    </x:row>
    <x:row r="22" ht="19" hidden="0" customHeight="1">
      <x:c r="A22" s="86"/>
      <x:c r="B22" s="86" t="str">
        <x:v>Net interest income / (expense)</x:v>
      </x:c>
      <x:c r="C22" s="196" t="n">
        <x:f aca="0">(C50+'Verified Inputs'!$C$11)*'Verified Inputs'!$C$50*C7-C47*'Assumptions'!$F$22*C7</x:f>
        <x:v>-7.494410958904112</x:v>
      </x:c>
      <x:c r="D22" s="196" t="n">
        <x:f aca="0">(D50+'Verified Inputs'!$C$11)*'Verified Inputs'!$C$50*D7-D47*'Assumptions'!$F$22*D7</x:f>
        <x:v>12.206252841344508</x:v>
      </x:c>
      <x:c r="E22" s="196" t="n">
        <x:f aca="0">(E50+'Verified Inputs'!$C$11)*'Verified Inputs'!$C$50*E7-E47*'Assumptions'!$F$22*E7</x:f>
        <x:v>25.00964303852416</x:v>
      </x:c>
      <x:c r="F22" s="196" t="n">
        <x:f aca="0">(F50+'Verified Inputs'!$C$11)*'Verified Inputs'!$C$50*F7-F47*'Assumptions'!$F$22*F7</x:f>
        <x:v>37.16216007357717</x:v>
      </x:c>
      <x:c r="G22" s="196" t="n">
        <x:f aca="0">(G50+'Verified Inputs'!$C$11)*'Verified Inputs'!$C$50*G7-G47*'Assumptions'!$F$22*G7</x:f>
        <x:v>50.723807080675655</x:v>
      </x:c>
      <x:c r="H22" s="86"/>
      <x:c r="I22" s="86"/>
      <x:c r="J22" s="86"/>
    </x:row>
    <x:row r="23" ht="19" hidden="0" customHeight="1">
      <x:c r="A23" s="86"/>
      <x:c r="B23" s="86" t="str">
        <x:v>Pretax operating earnings</x:v>
      </x:c>
      <x:c r="C23" s="142" t="n">
        <x:f aca="0">C15+C22</x:f>
        <x:v>718.3612140410958</x:v>
      </x:c>
      <x:c r="D23" s="142" t="n">
        <x:f aca="0">D15+D22</x:f>
        <x:v>1202.3989903413444</x:v>
      </x:c>
      <x:c r="E23" s="142" t="n">
        <x:f aca="0">E15+E22</x:f>
        <x:v>1239.006235288524</x:v>
      </x:c>
      <x:c r="F23" s="142" t="n">
        <x:f aca="0">F15+F22</x:f>
        <x:v>1275.438684168577</x:v>
      </x:c>
      <x:c r="G23" s="142" t="n">
        <x:f aca="0">G15+G22</x:f>
        <x:v>1313.7658616575754</x:v>
      </x:c>
      <x:c r="H23" s="86"/>
      <x:c r="I23" s="86"/>
      <x:c r="J23" s="86"/>
    </x:row>
    <x:row r="24" ht="19" hidden="0" customHeight="1">
      <x:c r="A24" s="86"/>
      <x:c r="B24" s="109" t="str">
        <x:v>Income tax</x:v>
      </x:c>
      <x:c r="C24" s="192" t="n">
        <x:f aca="0">-MAX(0,C23)*'Assumptions'!$F$14</x:f>
        <x:v>-197.54933386130136</x:v>
      </x:c>
      <x:c r="D24" s="192" t="n">
        <x:f aca="0">-MAX(0,D23)*'Assumptions'!$F$14</x:f>
        <x:v>-330.65972234386976</x:v>
      </x:c>
      <x:c r="E24" s="192" t="n">
        <x:f aca="0">-MAX(0,E23)*'Assumptions'!$F$14</x:f>
        <x:v>-340.72671470434415</x:v>
      </x:c>
      <x:c r="F24" s="192" t="n">
        <x:f aca="0">-MAX(0,F23)*'Assumptions'!$F$14</x:f>
        <x:v>-350.7456381463587</x:v>
      </x:c>
      <x:c r="G24" s="192" t="n">
        <x:f aca="0">-MAX(0,G23)*'Assumptions'!$F$14</x:f>
        <x:v>-361.2856119558333</x:v>
      </x:c>
      <x:c r="H24" s="86"/>
      <x:c r="I24" s="86"/>
      <x:c r="J24" s="86"/>
    </x:row>
    <x:row r="25" ht="19" hidden="0" customHeight="1">
      <x:c r="A25" s="86"/>
      <x:c r="B25" s="206" t="str">
        <x:v>Normalized net income</x:v>
      </x:c>
      <x:c r="C25" s="207" t="n">
        <x:f aca="0">C23+C24</x:f>
        <x:v>520.8118801797943</x:v>
      </x:c>
      <x:c r="D25" s="207" t="n">
        <x:f aca="0">D23+D24</x:f>
        <x:v>871.7392679974746</x:v>
      </x:c>
      <x:c r="E25" s="207" t="n">
        <x:f aca="0">E23+E24</x:f>
        <x:v>898.2795205841799</x:v>
      </x:c>
      <x:c r="F25" s="207" t="n">
        <x:f aca="0">F23+F24</x:f>
        <x:v>924.6930460222184</x:v>
      </x:c>
      <x:c r="G25" s="207" t="n">
        <x:f aca="0">G23+G24</x:f>
        <x:v>952.4802497017422</x:v>
      </x:c>
      <x:c r="H25" s="86"/>
      <x:c r="I25" s="86"/>
      <x:c r="J25" s="86"/>
    </x:row>
    <x:row r="26" ht="19" hidden="0" customHeight="1">
      <x:c r="A26" s="86"/>
      <x:c r="B26" s="109" t="str">
        <x:v>Diluted EPS for this period</x:v>
      </x:c>
      <x:c r="C26" s="197" t="n">
        <x:f aca="0">IF(C44&gt;0,C25/C44,0)</x:f>
        <x:v>1.4441567485040236</x:v>
      </x:c>
      <x:c r="D26" s="197" t="n">
        <x:f aca="0">IF(D44&gt;0,D25/D44,0)</x:f>
        <x:v>2.4465545792496224</x:v>
      </x:c>
      <x:c r="E26" s="197" t="n">
        <x:f aca="0">IF(E44&gt;0,E25/E44,0)</x:f>
        <x:v>2.5639525052361147</x:v>
      </x:c>
      <x:c r="F26" s="197" t="n">
        <x:f aca="0">IF(F44&gt;0,F25/F44,0)</x:f>
        <x:v>2.6838788011819235</x:v>
      </x:c>
      <x:c r="G26" s="197" t="n">
        <x:f aca="0">IF(G44&gt;0,G25/G44,0)</x:f>
        <x:v>2.8096436632681483</x:v>
      </x:c>
      <x:c r="H26" s="86"/>
      <x:c r="I26" s="86"/>
      <x:c r="J26" s="86"/>
    </x:row>
    <x:row r="27" ht="19" hidden="0" customHeight="1">
      <x:c r="A27" s="86"/>
      <x:c r="B27" s="109"/>
      <x:c r="C27" s="180"/>
      <x:c r="D27" s="180"/>
      <x:c r="E27" s="180"/>
      <x:c r="F27" s="180"/>
      <x:c r="G27" s="180"/>
      <x:c r="H27" s="86"/>
      <x:c r="I27" s="86"/>
      <x:c r="J27" s="86"/>
    </x:row>
    <x:row r="28" ht="24" hidden="0" customHeight="1">
      <x:c r="A28" s="86"/>
      <x:c r="B28" s="103" t="str">
        <x:v>Working capital</x:v>
      </x:c>
      <x:c r="C28" s="103"/>
      <x:c r="D28" s="103"/>
      <x:c r="E28" s="103"/>
      <x:c r="F28" s="103"/>
      <x:c r="G28" s="103"/>
      <x:c r="H28" s="103"/>
      <x:c r="I28" s="103"/>
      <x:c r="J28" s="103"/>
    </x:row>
    <x:row r="29" ht="19" hidden="0" customHeight="1">
      <x:c r="A29" s="109"/>
      <x:c r="B29" s="109" t="str">
        <x:v>Operating current assets — ending</x:v>
      </x:c>
      <x:c r="C29" s="199" t="n">
        <x:f>C9*'Verified Inputs'!$C$44</x:f>
        <x:v>2809.6875</x:v>
      </x:c>
      <x:c r="D29" s="199" t="n">
        <x:f>D9*'Verified Inputs'!$C$44</x:f>
        <x:v>2865.88125</x:v>
      </x:c>
      <x:c r="E29" s="199" t="n">
        <x:f>E9*'Verified Inputs'!$C$44</x:f>
        <x:v>2923.198875</x:v>
      </x:c>
      <x:c r="F29" s="199" t="n">
        <x:f>F9*'Verified Inputs'!$C$44</x:f>
        <x:v>2981.6628525</x:v>
      </x:c>
      <x:c r="G29" s="199" t="n">
        <x:f>G9*'Verified Inputs'!$C$44</x:f>
        <x:v>3041.29610955</x:v>
      </x:c>
      <x:c r="H29" s="109"/>
      <x:c r="I29" s="86"/>
      <x:c r="J29" s="86"/>
    </x:row>
    <x:row r="30" ht="19" hidden="0" customHeight="1">
      <x:c r="A30" s="86"/>
      <x:c r="B30" s="86" t="str">
        <x:v>Operating current liabilities — ending</x:v>
      </x:c>
      <x:c r="C30" s="196" t="n">
        <x:f aca="0">C9*'Verified Inputs'!$C$45</x:f>
        <x:v>2699.325</x:v>
      </x:c>
      <x:c r="D30" s="196" t="n">
        <x:f aca="0">D9*'Verified Inputs'!$C$45</x:f>
        <x:v>2753.3115</x:v>
      </x:c>
      <x:c r="E30" s="196" t="n">
        <x:f aca="0">E9*'Verified Inputs'!$C$45</x:f>
        <x:v>2808.3777299999997</x:v>
      </x:c>
      <x:c r="F30" s="196" t="n">
        <x:f aca="0">F9*'Verified Inputs'!$C$45</x:f>
        <x:v>2864.5452846</x:v>
      </x:c>
      <x:c r="G30" s="196" t="n">
        <x:f aca="0">G9*'Verified Inputs'!$C$45</x:f>
        <x:v>2921.8361902919996</x:v>
      </x:c>
      <x:c r="H30" s="86"/>
      <x:c r="I30" s="86"/>
      <x:c r="J30" s="86"/>
    </x:row>
    <x:row r="31" ht="19" hidden="0" customHeight="1">
      <x:c r="A31" s="86"/>
      <x:c r="B31" s="86" t="str">
        <x:v>Net operating working capital</x:v>
      </x:c>
      <x:c r="C31" s="142" t="n">
        <x:f aca="0">C29-C30</x:f>
        <x:v>110.36250000000018</x:v>
      </x:c>
      <x:c r="D31" s="142" t="n">
        <x:f aca="0">D29-D30</x:f>
        <x:v>112.56975000000011</x:v>
      </x:c>
      <x:c r="E31" s="142" t="n">
        <x:f aca="0">E29-E30</x:f>
        <x:v>114.82114500000034</x:v>
      </x:c>
      <x:c r="F31" s="142" t="n">
        <x:f aca="0">F29-F30</x:f>
        <x:v>117.11756790000027</x:v>
      </x:c>
      <x:c r="G31" s="142" t="n">
        <x:f aca="0">G29-G30</x:f>
        <x:v>119.45991925800035</x:v>
      </x:c>
      <x:c r="H31" s="86"/>
      <x:c r="I31" s="86"/>
      <x:c r="J31" s="86"/>
    </x:row>
    <x:row r="32" ht="19" hidden="0" customHeight="1">
      <x:c r="A32" s="86"/>
      <x:c r="B32" s="86" t="str">
        <x:v>Cash from change in working capital</x:v>
      </x:c>
      <x:c r="C32" s="196" t="n">
        <x:f aca="0">('Verified Inputs'!$C$18-'Verified Inputs'!$C$19)-C31</x:f>
        <x:v>671.6374999999998</x:v>
      </x:c>
      <x:c r="D32" s="142" t="n">
        <x:f aca="0">(C31)-D31</x:f>
        <x:v>-2.207249999999931</x:v>
      </x:c>
      <x:c r="E32" s="142" t="n">
        <x:f aca="0">(D31)-E31</x:f>
        <x:v>-2.2513950000002296</x:v>
      </x:c>
      <x:c r="F32" s="142" t="n">
        <x:f aca="0">(E31)-F31</x:f>
        <x:v>-2.296422899999925</x:v>
      </x:c>
      <x:c r="G32" s="142" t="n">
        <x:f aca="0">(F31)-G31</x:f>
        <x:v>-2.342351358000087</x:v>
      </x:c>
      <x:c r="H32" s="86"/>
      <x:c r="I32" s="86"/>
      <x:c r="J32" s="86"/>
    </x:row>
    <x:row r="33" ht="19" hidden="0" customHeight="1">
      <x:c r="A33" s="86"/>
      <x:c r="B33" s="86"/>
      <x:c r="C33" s="127"/>
      <x:c r="D33" s="127"/>
      <x:c r="E33" s="127"/>
      <x:c r="F33" s="127"/>
      <x:c r="G33" s="127"/>
      <x:c r="H33" s="86"/>
      <x:c r="I33" s="86"/>
      <x:c r="J33" s="86"/>
    </x:row>
    <x:row r="34" ht="24" hidden="0" customHeight="1">
      <x:c r="A34" s="86"/>
      <x:c r="B34" s="103" t="str">
        <x:v>Long-lived assets</x:v>
      </x:c>
      <x:c r="C34" s="151"/>
      <x:c r="D34" s="151"/>
      <x:c r="E34" s="151"/>
      <x:c r="F34" s="151"/>
      <x:c r="G34" s="151"/>
      <x:c r="H34" s="103"/>
      <x:c r="I34" s="103"/>
      <x:c r="J34" s="103"/>
    </x:row>
    <x:row r="35" ht="19" hidden="0" customHeight="1">
      <x:c r="A35" s="86"/>
      <x:c r="B35" s="109" t="str">
        <x:v>Capital expenditures</x:v>
      </x:c>
      <x:c r="C35" s="192" t="n">
        <x:f aca="0">MAX(0,C9*'Assumptions'!$F$16-'Verified Inputs'!$C$34)</x:f>
        <x:v>364.43915000000004</x:v>
      </x:c>
      <x:c r="D35" s="192" t="n">
        <x:f aca="0">D12*'Assumptions'!$F$17</x:f>
        <x:v>571.2925139999999</x:v>
      </x:c>
      <x:c r="E35" s="192" t="n">
        <x:f aca="0">E12*'Assumptions'!$F$17</x:f>
        <x:v>582.71836428</x:v>
      </x:c>
      <x:c r="F35" s="192" t="n">
        <x:f aca="0">F12*'Assumptions'!$F$17</x:f>
        <x:v>594.3727315655999</x:v>
      </x:c>
      <x:c r="G35" s="192" t="n">
        <x:f aca="0">G12*'Assumptions'!$F$17</x:f>
        <x:v>606.260186196912</x:v>
      </x:c>
      <x:c r="H35" s="86"/>
      <x:c r="I35" s="86"/>
      <x:c r="J35" s="86"/>
    </x:row>
    <x:row r="36" ht="19" hidden="0" customHeight="1">
      <x:c r="A36" s="86"/>
      <x:c r="B36" s="86" t="str">
        <x:v>Net PP&amp;E — ending</x:v>
      </x:c>
      <x:c r="C36" s="196" t="n">
        <x:f aca="0">'Verified Inputs'!$C$20+C35-C17</x:f>
        <x:v>2650.31675</x:v>
      </x:c>
      <x:c r="D36" s="142" t="n">
        <x:f aca="0">C36+D35-D17</x:f>
        <x:v>2713.7936959999997</x:v>
      </x:c>
      <x:c r="E36" s="142" t="n">
        <x:f aca="0">D36+E35-E17</x:f>
        <x:v>2778.54018092</x:v>
      </x:c>
      <x:c r="F36" s="142" t="n">
        <x:f aca="0">E36+F35-F17</x:f>
        <x:v>2844.5815955384</x:v>
      </x:c>
      <x:c r="G36" s="142" t="n">
        <x:f aca="0">F36+G35-G17</x:f>
        <x:v>2911.943838449168</x:v>
      </x:c>
      <x:c r="H36" s="86"/>
      <x:c r="I36" s="86"/>
      <x:c r="J36" s="86"/>
    </x:row>
    <x:row r="37" ht="19" hidden="0" customHeight="1">
      <x:c r="A37" s="86"/>
      <x:c r="B37" s="86" t="str">
        <x:v>Acquired intangibles — ending</x:v>
      </x:c>
      <x:c r="C37" s="104" t="n">
        <x:f>'Verified Inputs'!$C$21-C18</x:f>
        <x:v>0</x:v>
      </x:c>
      <x:c r="D37" s="96" t="n">
        <x:f>C37-D18</x:f>
        <x:v>0</x:v>
      </x:c>
      <x:c r="E37" s="96" t="n">
        <x:f>D37-E18</x:f>
        <x:v>0</x:v>
      </x:c>
      <x:c r="F37" s="96" t="n">
        <x:f>E37-F18</x:f>
        <x:v>0</x:v>
      </x:c>
      <x:c r="G37" s="96" t="n">
        <x:f>F37-G18</x:f>
        <x:v>0</x:v>
      </x:c>
      <x:c r="H37" s="86"/>
      <x:c r="I37" s="86"/>
      <x:c r="J37" s="86"/>
    </x:row>
    <x:row r="38" ht="19" hidden="0" customHeight="1">
      <x:c r="A38" s="109"/>
      <x:c r="B38" s="109" t="str">
        <x:v>Goodwill — unchanged</x:v>
      </x:c>
      <x:c r="C38" s="199" t="n">
        <x:f>'Verified Inputs'!$C$22</x:f>
        <x:v>0</x:v>
      </x:c>
      <x:c r="D38" s="199" t="n">
        <x:f>'Verified Inputs'!$C$22</x:f>
        <x:v>0</x:v>
      </x:c>
      <x:c r="E38" s="199" t="n">
        <x:f>'Verified Inputs'!$C$22</x:f>
        <x:v>0</x:v>
      </x:c>
      <x:c r="F38" s="199" t="n">
        <x:f>'Verified Inputs'!$C$22</x:f>
        <x:v>0</x:v>
      </x:c>
      <x:c r="G38" s="199" t="n">
        <x:f>'Verified Inputs'!$C$22</x:f>
        <x:v>0</x:v>
      </x:c>
      <x:c r="H38" s="109"/>
      <x:c r="I38" s="86"/>
      <x:c r="J38" s="86"/>
    </x:row>
    <x:row r="39" ht="24" hidden="0" customHeight="1">
      <x:c r="A39" s="86"/>
      <x:c r="B39" s="103" t="str">
        <x:v>Shares</x:v>
      </x:c>
      <x:c r="C39" s="151"/>
      <x:c r="D39" s="151"/>
      <x:c r="E39" s="151"/>
      <x:c r="F39" s="151"/>
      <x:c r="G39" s="151"/>
      <x:c r="H39" s="103"/>
      <x:c r="I39" s="103"/>
      <x:c r="J39" s="103"/>
    </x:row>
    <x:row r="40" ht="19" hidden="0" customHeight="1">
      <x:c r="A40" s="86"/>
      <x:c r="B40" s="86" t="str">
        <x:v>Beginning shares</x:v>
      </x:c>
      <x:c r="C40" s="196" t="n">
        <x:f aca="0">'Verified Inputs'!$C$8</x:f>
        <x:v>362</x:v>
      </x:c>
      <x:c r="D40" s="142" t="n">
        <x:f aca="0">C43</x:f>
        <x:v>359.2677996613513</x:v>
      </x:c>
      <x:c r="E40" s="142" t="n">
        <x:f aca="0">D43</x:f>
        <x:v>353.3582544566353</x:v>
      </x:c>
      <x:c r="F40" s="142" t="n">
        <x:f aca="0">E43</x:f>
        <x:v>347.34077857904657</x:v>
      </x:c>
      <x:c r="G40" s="142" t="n">
        <x:f aca="0">F43</x:f>
        <x:v>341.7313550918205</x:v>
      </x:c>
      <x:c r="H40" s="86"/>
      <x:c r="I40" s="86"/>
      <x:c r="J40" s="86"/>
    </x:row>
    <x:row r="41" ht="19" hidden="0" customHeight="1">
      <x:c r="A41" s="86"/>
      <x:c r="B41" s="109" t="str">
        <x:v>Shares issued for SBC (estimate)</x:v>
      </x:c>
      <x:c r="C41" s="192" t="n">
        <x:f aca="0">IF('Verified Inputs'!$C$7&gt;0,C21/'Verified Inputs'!$C$7,0)</x:f>
        <x:v>3.936949955416852</x:v>
      </x:c>
      <x:c r="D41" s="192" t="n">
        <x:f aca="0">IF('Verified Inputs'!$C$7&gt;0,D21/'Verified Inputs'!$C$7,0)</x:f>
        <x:v>7.428755383415069</x:v>
      </x:c>
      <x:c r="E41" s="192" t="n">
        <x:f aca="0">IF('Verified Inputs'!$C$7&gt;0,E21/'Verified Inputs'!$C$7,0)</x:f>
        <x:v>7.577330491083371</x:v>
      </x:c>
      <x:c r="F41" s="192" t="n">
        <x:f aca="0">IF('Verified Inputs'!$C$7&gt;0,F21/'Verified Inputs'!$C$7,0)</x:f>
        <x:v>7.728877100905039</x:v>
      </x:c>
      <x:c r="G41" s="192" t="n">
        <x:f aca="0">IF('Verified Inputs'!$C$7&gt;0,G21/'Verified Inputs'!$C$7,0)</x:f>
        <x:v>7.883454642923138</x:v>
      </x:c>
      <x:c r="H41" s="86"/>
      <x:c r="I41" s="86"/>
      <x:c r="J41" s="86"/>
    </x:row>
    <x:row r="42" ht="19" hidden="0" customHeight="1">
      <x:c r="A42" s="86"/>
      <x:c r="B42" s="86" t="str">
        <x:v>Shares repurchased</x:v>
      </x:c>
      <x:c r="C42" s="104" t="n">
        <x:f>IF('Verified Inputs'!$C$7&gt;0,-C59/'Verified Inputs'!$C$7,0)</x:f>
        <x:v>6.669150294065556</x:v>
      </x:c>
      <x:c r="D42" s="104" t="n">
        <x:f>IF('Verified Inputs'!$C$7&gt;0,-D59/'Verified Inputs'!$C$7,0)</x:f>
        <x:v>13.338300588131112</x:v>
      </x:c>
      <x:c r="E42" s="104" t="n">
        <x:f>IF('Verified Inputs'!$C$7&gt;0,-E59/'Verified Inputs'!$C$7,0)</x:f>
        <x:v>13.594806368672092</x:v>
      </x:c>
      <x:c r="F42" s="104" t="n">
        <x:f>IF('Verified Inputs'!$C$7&gt;0,-F59/'Verified Inputs'!$C$7,0)</x:f>
        <x:v>13.338300588131112</x:v>
      </x:c>
      <x:c r="G42" s="104" t="n">
        <x:f>IF('Verified Inputs'!$C$7&gt;0,-G59/'Verified Inputs'!$C$7,0)</x:f>
        <x:v>13.338300588131112</x:v>
      </x:c>
      <x:c r="H42" s="86"/>
      <x:c r="I42" s="86"/>
      <x:c r="J42" s="86"/>
    </x:row>
    <x:row r="43" ht="19" hidden="0" customHeight="1">
      <x:c r="A43" s="109"/>
      <x:c r="B43" s="109" t="str">
        <x:v>Ending shares</x:v>
      </x:c>
      <x:c r="C43" s="198" t="n">
        <x:f>C40+C41-C42</x:f>
        <x:v>359.2677996613513</x:v>
      </x:c>
      <x:c r="D43" s="198" t="n">
        <x:f>D40+D41-D42</x:f>
        <x:v>353.3582544566353</x:v>
      </x:c>
      <x:c r="E43" s="198" t="n">
        <x:f>E40+E41-E42</x:f>
        <x:v>347.34077857904657</x:v>
      </x:c>
      <x:c r="F43" s="198" t="n">
        <x:f>F40+F41-F42</x:f>
        <x:v>341.7313550918205</x:v>
      </x:c>
      <x:c r="G43" s="198" t="n">
        <x:f>G40+G41-G42</x:f>
        <x:v>336.2765091466125</x:v>
      </x:c>
      <x:c r="H43" s="109"/>
      <x:c r="I43" s="86"/>
      <x:c r="J43" s="86"/>
    </x:row>
    <x:row r="44" ht="19" hidden="0" customHeight="1">
      <x:c r="A44" s="86"/>
      <x:c r="B44" s="86" t="str">
        <x:v>Average diluted shares</x:v>
      </x:c>
      <x:c r="C44" s="142" t="n">
        <x:f aca="0">(C40+C43)/2</x:f>
        <x:v>360.63389983067566</x:v>
      </x:c>
      <x:c r="D44" s="142" t="n">
        <x:f aca="0">(D40+D43)/2</x:f>
        <x:v>356.31302705899327</x:v>
      </x:c>
      <x:c r="E44" s="142" t="n">
        <x:f aca="0">(E40+E43)/2</x:f>
        <x:v>350.3495165178409</x:v>
      </x:c>
      <x:c r="F44" s="142" t="n">
        <x:f aca="0">(F40+F43)/2</x:f>
        <x:v>344.53606683543353</x:v>
      </x:c>
      <x:c r="G44" s="142" t="n">
        <x:f aca="0">(G40+G43)/2</x:f>
        <x:v>339.00393211921653</x:v>
      </x:c>
      <x:c r="H44" s="86"/>
      <x:c r="I44" s="86"/>
      <x:c r="J44" s="86"/>
    </x:row>
    <x:row r="45" ht="19" hidden="0" customHeight="1">
      <x:c r="A45" s="86"/>
      <x:c r="B45" s="123"/>
      <x:c r="C45" s="127"/>
      <x:c r="D45" s="127"/>
      <x:c r="E45" s="127"/>
      <x:c r="F45" s="127"/>
      <x:c r="G45" s="127"/>
      <x:c r="H45" s="86"/>
      <x:c r="I45" s="86"/>
      <x:c r="J45" s="86"/>
    </x:row>
    <x:row r="46" ht="24" hidden="0" customHeight="1">
      <x:c r="A46" s="109"/>
      <x:c r="B46" s="103" t="str">
        <x:v>Debt and cash</x:v>
      </x:c>
      <x:c r="C46" s="103"/>
      <x:c r="D46" s="103"/>
      <x:c r="E46" s="103"/>
      <x:c r="F46" s="103"/>
      <x:c r="G46" s="103"/>
      <x:c r="H46" s="103"/>
      <x:c r="I46" s="103"/>
      <x:c r="J46" s="103"/>
    </x:row>
    <x:row r="47" ht="19" hidden="0" customHeight="1">
      <x:c r="A47" s="86"/>
      <x:c r="B47" s="86" t="str">
        <x:v>Beginning funded debt</x:v>
      </x:c>
      <x:c r="C47" s="196" t="n">
        <x:f aca="0">'Verified Inputs'!$C$12</x:f>
        <x:v>1493</x:v>
      </x:c>
      <x:c r="D47" s="142" t="n">
        <x:f aca="0">C49</x:f>
        <x:v>1493</x:v>
      </x:c>
      <x:c r="E47" s="142" t="n">
        <x:f aca="0">D49</x:f>
        <x:v>1493</x:v>
      </x:c>
      <x:c r="F47" s="142" t="n">
        <x:f aca="0">E49</x:f>
        <x:v>1493</x:v>
      </x:c>
      <x:c r="G47" s="142" t="n">
        <x:f aca="0">F49</x:f>
        <x:v>1493</x:v>
      </x:c>
      <x:c r="H47" s="86"/>
      <x:c r="I47" s="86"/>
      <x:c r="J47" s="86"/>
    </x:row>
    <x:row r="48" ht="19" hidden="0" customHeight="1">
      <x:c r="A48" s="86"/>
      <x:c r="B48" s="86" t="str">
        <x:v>Explicit borrowing / (repayment)</x:v>
      </x:c>
      <x:c r="C48" s="144" t="n">
        <x:v>0</x:v>
      </x:c>
      <x:c r="D48" s="144" t="n">
        <x:v>0</x:v>
      </x:c>
      <x:c r="E48" s="144" t="n">
        <x:v>0</x:v>
      </x:c>
      <x:c r="F48" s="144" t="n">
        <x:v>0</x:v>
      </x:c>
      <x:c r="G48" s="144" t="n">
        <x:v>0</x:v>
      </x:c>
      <x:c r="H48" s="86"/>
      <x:c r="I48" s="86"/>
      <x:c r="J48" s="86"/>
    </x:row>
    <x:row r="49" ht="19" hidden="0" customHeight="1">
      <x:c r="A49" s="86"/>
      <x:c r="B49" s="86" t="str">
        <x:v>Ending funded debt</x:v>
      </x:c>
      <x:c r="C49" s="142" t="n">
        <x:f aca="0">C47+C48</x:f>
        <x:v>1493</x:v>
      </x:c>
      <x:c r="D49" s="142" t="n">
        <x:f aca="0">D47+D48</x:f>
        <x:v>1493</x:v>
      </x:c>
      <x:c r="E49" s="142" t="n">
        <x:f aca="0">E47+E48</x:f>
        <x:v>1493</x:v>
      </x:c>
      <x:c r="F49" s="142" t="n">
        <x:f aca="0">F47+F48</x:f>
        <x:v>1493</x:v>
      </x:c>
      <x:c r="G49" s="142" t="n">
        <x:f aca="0">G47+G48</x:f>
        <x:v>1493</x:v>
      </x:c>
      <x:c r="H49" s="86"/>
      <x:c r="I49" s="86"/>
      <x:c r="J49" s="86"/>
    </x:row>
    <x:row r="50" ht="19" hidden="0" customHeight="1">
      <x:c r="A50" s="86"/>
      <x:c r="B50" s="86" t="str">
        <x:v>Beginning cash</x:v>
      </x:c>
      <x:c r="C50" s="196" t="n">
        <x:f aca="0">'Verified Inputs'!$C$10</x:f>
        <x:v>2103</x:v>
      </x:c>
      <x:c r="D50" s="142" t="n">
        <x:f aca="0">C61</x:f>
        <x:v>3011.9928834332186</x:v>
      </x:c>
      <x:c r="E50" s="142" t="n">
        <x:f aca="0">D61</x:f>
        <x:v>3424.1724805985014</x:v>
      </x:c>
      <x:c r="F50" s="142" t="n">
        <x:f aca="0">E61</x:f>
        <x:v>3846.141797331106</x:v>
      </x:c>
      <x:c r="G50" s="142" t="n">
        <x:f aca="0">F61</x:f>
        <x:v>4299.438606634306</x:v>
      </x:c>
      <x:c r="H50" s="86"/>
      <x:c r="I50" s="86"/>
      <x:c r="J50" s="86"/>
    </x:row>
    <x:row r="51" ht="19" hidden="0" customHeight="1">
      <x:c r="A51" s="86"/>
      <x:c r="B51" s="109" t="str">
        <x:v>Net income</x:v>
      </x:c>
      <x:c r="C51" s="145" t="n">
        <x:f aca="0">C25</x:f>
        <x:v>520.8118801797943</x:v>
      </x:c>
      <x:c r="D51" s="145" t="n">
        <x:f aca="0">D25</x:f>
        <x:v>871.7392679974746</x:v>
      </x:c>
      <x:c r="E51" s="145" t="n">
        <x:f aca="0">E25</x:f>
        <x:v>898.2795205841799</x:v>
      </x:c>
      <x:c r="F51" s="145" t="n">
        <x:f aca="0">F25</x:f>
        <x:v>924.6930460222184</x:v>
      </x:c>
      <x:c r="G51" s="145" t="n">
        <x:f aca="0">G25</x:f>
        <x:v>952.4802497017422</x:v>
      </x:c>
      <x:c r="H51" s="86"/>
      <x:c r="I51" s="86"/>
      <x:c r="J51" s="86"/>
    </x:row>
    <x:row r="52" ht="19" hidden="0" customHeight="1">
      <x:c r="A52" s="86"/>
      <x:c r="B52" s="86" t="str">
        <x:v>Add D&amp;A</x:v>
      </x:c>
      <x:c r="C52" s="142" t="n">
        <x:f aca="0">C19</x:f>
        <x:v>269.12239999999997</x:v>
      </x:c>
      <x:c r="D52" s="142" t="n">
        <x:f aca="0">D19</x:f>
        <x:v>507.815568</x:v>
      </x:c>
      <x:c r="E52" s="142" t="n">
        <x:f aca="0">E19</x:f>
        <x:v>517.97187936</x:v>
      </x:c>
      <x:c r="F52" s="142" t="n">
        <x:f aca="0">F19</x:f>
        <x:v>528.3313169472</x:v>
      </x:c>
      <x:c r="G52" s="142" t="n">
        <x:f aca="0">G19</x:f>
        <x:v>538.8979432861439</x:v>
      </x:c>
      <x:c r="H52" s="86"/>
      <x:c r="I52" s="86"/>
      <x:c r="J52" s="86"/>
    </x:row>
    <x:row r="53" ht="19" hidden="0" customHeight="1">
      <x:c r="A53" s="86"/>
      <x:c r="B53" s="86" t="str">
        <x:v>Add SBC (noncash issuance)</x:v>
      </x:c>
      <x:c r="C53" s="96" t="n">
        <x:f>C21</x:f>
        <x:v>88.3057875</x:v>
      </x:c>
      <x:c r="D53" s="96" t="n">
        <x:f>D21</x:f>
        <x:v>166.62698325</x:v>
      </x:c>
      <x:c r="E53" s="96" t="n">
        <x:f>E21</x:f>
        <x:v>169.959522915</x:v>
      </x:c>
      <x:c r="F53" s="96" t="n">
        <x:f>F21</x:f>
        <x:v>173.35871337330002</x:v>
      </x:c>
      <x:c r="G53" s="96" t="n">
        <x:f>G21</x:f>
        <x:v>176.82588764076598</x:v>
      </x:c>
      <x:c r="H53" s="86"/>
      <x:c r="I53" s="86"/>
      <x:c r="J53" s="86"/>
    </x:row>
    <x:row r="54" ht="19" hidden="0" customHeight="1">
      <x:c r="A54" s="109"/>
      <x:c r="B54" s="109" t="str">
        <x:v>Cash from working capital</x:v>
      </x:c>
      <x:c r="C54" s="198" t="n">
        <x:f>C32</x:f>
        <x:v>671.6374999999998</x:v>
      </x:c>
      <x:c r="D54" s="198" t="n">
        <x:f>D32</x:f>
        <x:v>-2.207249999999931</x:v>
      </x:c>
      <x:c r="E54" s="198" t="n">
        <x:f>E32</x:f>
        <x:v>-2.2513950000002296</x:v>
      </x:c>
      <x:c r="F54" s="198" t="n">
        <x:f>F32</x:f>
        <x:v>-2.296422899999925</x:v>
      </x:c>
      <x:c r="G54" s="198" t="n">
        <x:f>G32</x:f>
        <x:v>-2.342351358000087</x:v>
      </x:c>
      <x:c r="H54" s="109"/>
      <x:c r="I54" s="86"/>
      <x:c r="J54" s="86"/>
    </x:row>
    <x:row r="55" ht="19" hidden="0" customHeight="1">
      <x:c r="A55" s="86"/>
      <x:c r="B55" s="206" t="str">
        <x:v>Operating cash flow</x:v>
      </x:c>
      <x:c r="C55" s="207" t="n">
        <x:f aca="0">SUM(C51:C54)</x:f>
        <x:v>1549.877567679794</x:v>
      </x:c>
      <x:c r="D55" s="207" t="n">
        <x:f aca="0">SUM(D51:D54)</x:f>
        <x:v>1543.9745692474746</x:v>
      </x:c>
      <x:c r="E55" s="207" t="n">
        <x:f aca="0">SUM(E51:E54)</x:f>
        <x:v>1583.9595278591796</x:v>
      </x:c>
      <x:c r="F55" s="207" t="n">
        <x:f aca="0">SUM(F51:F54)</x:f>
        <x:v>1624.0866534427182</x:v>
      </x:c>
      <x:c r="G55" s="207" t="n">
        <x:f aca="0">SUM(G51:G54)</x:f>
        <x:v>1665.861729270652</x:v>
      </x:c>
      <x:c r="H55" s="86"/>
      <x:c r="I55" s="86"/>
      <x:c r="J55" s="86"/>
    </x:row>
    <x:row r="56" ht="19" hidden="0" customHeight="1">
      <x:c r="A56" s="86"/>
      <x:c r="B56" s="86" t="str">
        <x:v>Less capex</x:v>
      </x:c>
      <x:c r="C56" s="142" t="n">
        <x:f aca="0">-C35</x:f>
        <x:v>-364.43915000000004</x:v>
      </x:c>
      <x:c r="D56" s="142" t="n">
        <x:f aca="0">-D35</x:f>
        <x:v>-571.2925139999999</x:v>
      </x:c>
      <x:c r="E56" s="142" t="n">
        <x:f aca="0">-E35</x:f>
        <x:v>-582.71836428</x:v>
      </x:c>
      <x:c r="F56" s="142" t="n">
        <x:f aca="0">-F35</x:f>
        <x:v>-594.3727315655999</x:v>
      </x:c>
      <x:c r="G56" s="142" t="n">
        <x:f aca="0">-G35</x:f>
        <x:v>-606.260186196912</x:v>
      </x:c>
      <x:c r="H56" s="86"/>
      <x:c r="I56" s="86"/>
      <x:c r="J56" s="86"/>
    </x:row>
    <x:row r="57" ht="19" hidden="0" customHeight="1">
      <x:c r="A57" s="86"/>
      <x:c r="B57" s="206" t="str">
        <x:v>Free cash flow before financing</x:v>
      </x:c>
      <x:c r="C57" s="207" t="n">
        <x:f aca="0">C55+C56</x:f>
        <x:v>1185.438417679794</x:v>
      </x:c>
      <x:c r="D57" s="207" t="n">
        <x:f aca="0">D55+D56</x:f>
        <x:v>972.6820552474748</x:v>
      </x:c>
      <x:c r="E57" s="207" t="n">
        <x:f aca="0">E55+E56</x:f>
        <x:v>1001.2411635791797</x:v>
      </x:c>
      <x:c r="F57" s="207" t="n">
        <x:f aca="0">F55+F56</x:f>
        <x:v>1029.7139218771183</x:v>
      </x:c>
      <x:c r="G57" s="207" t="n">
        <x:f aca="0">G55+G56</x:f>
        <x:v>1059.60154307374</x:v>
      </x:c>
      <x:c r="H57" s="86"/>
      <x:c r="I57" s="86"/>
      <x:c r="J57" s="86"/>
    </x:row>
    <x:row r="58" ht="19" hidden="0" customHeight="1">
      <x:c r="A58" s="86"/>
      <x:c r="B58" s="86" t="str">
        <x:v>Dividends (liquidity capped)</x:v>
      </x:c>
      <x:c r="C58" s="196" t="n">
        <x:f aca="0">-MIN('Verified Inputs'!$C$46*(1+'Assumptions'!$F$18)^1*C7,MAX(0,C93-'Verified Inputs'!$C$27))</x:f>
        <x:v>-126.85649315068493</x:v>
      </x:c>
      <x:c r="D58" s="196" t="n">
        <x:f aca="0">-MIN('Verified Inputs'!$C$46*(1+'Assumptions'!$F$18)^2*D7,MAX(0,D93-'Verified Inputs'!$C$27))</x:f>
        <x:v>-261.324375890411</x:v>
      </x:c>
      <x:c r="E58" s="196" t="n">
        <x:f aca="0">-MIN('Verified Inputs'!$C$46*(1+'Assumptions'!$F$18)^3*E7,MAX(0,E93-'Verified Inputs'!$C$27))</x:f>
        <x:v>-274.3403399972603</x:v>
      </x:c>
      <x:c r="F58" s="196" t="n">
        <x:f aca="0">-MIN('Verified Inputs'!$C$46*(1+'Assumptions'!$F$18)^4*F7,MAX(0,F93-'Verified Inputs'!$C$27))</x:f>
        <x:v>-277.23903038213706</x:v>
      </x:c>
      <x:c r="G58" s="196" t="n">
        <x:f aca="0">-MIN('Verified Inputs'!$C$46*(1+'Assumptions'!$F$18)^5*G7,MAX(0,G93-'Verified Inputs'!$C$27))</x:f>
        <x:v>-285.5562012936011</x:v>
      </x:c>
      <x:c r="H58" s="86"/>
      <x:c r="I58" s="86"/>
      <x:c r="J58" s="86"/>
    </x:row>
    <x:row r="59" ht="19" hidden="0" customHeight="1">
      <x:c r="A59" s="86"/>
      <x:c r="B59" s="109" t="str">
        <x:v>Buybacks (liquidity capped)</x:v>
      </x:c>
      <x:c r="C59" s="192" t="n">
        <x:f aca="0">-MIN('Assumptions'!$F$19*C7,MAX(0,C93+C58-'Verified Inputs'!$C$27))</x:f>
        <x:v>-149.58904109589042</x:v>
      </x:c>
      <x:c r="D59" s="192" t="n">
        <x:f aca="0">-MIN('Assumptions'!$F$19*D7,MAX(0,D93+D58-'Verified Inputs'!$C$27))</x:f>
        <x:v>-299.17808219178085</x:v>
      </x:c>
      <x:c r="E59" s="192" t="n">
        <x:f aca="0">-MIN('Assumptions'!$F$19*E7,MAX(0,E93+E58-'Verified Inputs'!$C$27))</x:f>
        <x:v>-304.93150684931504</x:v>
      </x:c>
      <x:c r="F59" s="192" t="n">
        <x:f aca="0">-MIN('Assumptions'!$F$19*F7,MAX(0,F93+F58-'Verified Inputs'!$C$27))</x:f>
        <x:v>-299.17808219178085</x:v>
      </x:c>
      <x:c r="G59" s="192" t="n">
        <x:f aca="0">-MIN('Assumptions'!$F$19*G7,MAX(0,G93+G58-'Verified Inputs'!$C$27))</x:f>
        <x:v>-299.17808219178085</x:v>
      </x:c>
      <x:c r="H59" s="86"/>
      <x:c r="I59" s="86"/>
      <x:c r="J59" s="86"/>
    </x:row>
    <x:row r="60" ht="19" hidden="0" customHeight="1">
      <x:c r="A60" s="86"/>
      <x:c r="B60" s="86" t="str">
        <x:v>Debt movement</x:v>
      </x:c>
      <x:c r="C60" s="142" t="n">
        <x:f aca="0">C48</x:f>
        <x:v>0</x:v>
      </x:c>
      <x:c r="D60" s="142" t="n">
        <x:f aca="0">D48</x:f>
        <x:v>0</x:v>
      </x:c>
      <x:c r="E60" s="142" t="n">
        <x:f aca="0">E48</x:f>
        <x:v>0</x:v>
      </x:c>
      <x:c r="F60" s="142" t="n">
        <x:f aca="0">F48</x:f>
        <x:v>0</x:v>
      </x:c>
      <x:c r="G60" s="142" t="n">
        <x:f aca="0">G48</x:f>
        <x:v>0</x:v>
      </x:c>
      <x:c r="H60" s="86"/>
      <x:c r="I60" s="86"/>
      <x:c r="J60" s="86"/>
    </x:row>
    <x:row r="61" ht="19" hidden="0" customHeight="1">
      <x:c r="A61" s="86"/>
      <x:c r="B61" s="206" t="str">
        <x:v>Ending cash</x:v>
      </x:c>
      <x:c r="C61" s="207" t="n">
        <x:f aca="0">C50+SUM(C57:C60)</x:f>
        <x:v>3011.9928834332186</x:v>
      </x:c>
      <x:c r="D61" s="207" t="n">
        <x:f aca="0">D50+SUM(D57:D60)</x:f>
        <x:v>3424.1724805985014</x:v>
      </x:c>
      <x:c r="E61" s="207" t="n">
        <x:f aca="0">E50+SUM(E57:E60)</x:f>
        <x:v>3846.141797331106</x:v>
      </x:c>
      <x:c r="F61" s="207" t="n">
        <x:f aca="0">F50+SUM(F57:F60)</x:f>
        <x:v>4299.438606634306</x:v>
      </x:c>
      <x:c r="G61" s="207" t="n">
        <x:f aca="0">G50+SUM(G57:G60)</x:f>
        <x:v>4774.305866222664</x:v>
      </x:c>
      <x:c r="H61" s="86"/>
      <x:c r="I61" s="86"/>
      <x:c r="J61" s="86"/>
    </x:row>
    <x:row r="62" ht="19" hidden="0" customHeight="1">
      <x:c r="A62" s="86"/>
      <x:c r="B62" s="86"/>
      <x:c r="C62" s="127"/>
      <x:c r="D62" s="127"/>
      <x:c r="E62" s="127"/>
      <x:c r="F62" s="127"/>
      <x:c r="G62" s="127"/>
      <x:c r="H62" s="86"/>
      <x:c r="I62" s="86"/>
      <x:c r="J62" s="86"/>
    </x:row>
    <x:row r="63" ht="24" hidden="0" customHeight="1">
      <x:c r="A63" s="86"/>
      <x:c r="B63" s="103" t="str">
        <x:v>Balance sheet — assets</x:v>
      </x:c>
      <x:c r="C63" s="151"/>
      <x:c r="D63" s="151"/>
      <x:c r="E63" s="151"/>
      <x:c r="F63" s="151"/>
      <x:c r="G63" s="151"/>
      <x:c r="H63" s="103"/>
      <x:c r="I63" s="103"/>
      <x:c r="J63" s="103"/>
    </x:row>
    <x:row r="64" ht="19" hidden="0" customHeight="1">
      <x:c r="A64" s="86"/>
      <x:c r="B64" s="86" t="str">
        <x:v>Cash</x:v>
      </x:c>
      <x:c r="C64" s="142" t="n">
        <x:f>C61</x:f>
        <x:v>3011.9928834332186</x:v>
      </x:c>
      <x:c r="D64" s="142" t="n">
        <x:f>D61</x:f>
        <x:v>3424.1724805985014</x:v>
      </x:c>
      <x:c r="E64" s="142" t="n">
        <x:f>E61</x:f>
        <x:v>3846.141797331106</x:v>
      </x:c>
      <x:c r="F64" s="142" t="n">
        <x:f>F61</x:f>
        <x:v>4299.438606634306</x:v>
      </x:c>
      <x:c r="G64" s="142" t="n">
        <x:f>G61</x:f>
        <x:v>4774.305866222664</x:v>
      </x:c>
      <x:c r="H64" s="86"/>
      <x:c r="I64" s="86"/>
      <x:c r="J64" s="86"/>
    </x:row>
    <x:row r="65" ht="19" hidden="0" customHeight="1">
      <x:c r="A65" s="86"/>
      <x:c r="B65" s="109" t="str">
        <x:v>Short-term investments</x:v>
      </x:c>
      <x:c r="C65" s="192" t="n">
        <x:f aca="0">'Verified Inputs'!$C$11</x:f>
        <x:v>382</x:v>
      </x:c>
      <x:c r="D65" s="192" t="n">
        <x:f aca="0">'Verified Inputs'!$C$11</x:f>
        <x:v>382</x:v>
      </x:c>
      <x:c r="E65" s="192" t="n">
        <x:f aca="0">'Verified Inputs'!$C$11</x:f>
        <x:v>382</x:v>
      </x:c>
      <x:c r="F65" s="192" t="n">
        <x:f aca="0">'Verified Inputs'!$C$11</x:f>
        <x:v>382</x:v>
      </x:c>
      <x:c r="G65" s="192" t="n">
        <x:f aca="0">'Verified Inputs'!$C$11</x:f>
        <x:v>382</x:v>
      </x:c>
      <x:c r="H65" s="86"/>
      <x:c r="I65" s="86"/>
      <x:c r="J65" s="86"/>
    </x:row>
    <x:row r="66" ht="19" hidden="0" customHeight="1">
      <x:c r="A66" s="86"/>
      <x:c r="B66" s="86" t="str">
        <x:v>Operating current assets</x:v>
      </x:c>
      <x:c r="C66" s="142" t="n">
        <x:f aca="0">C29</x:f>
        <x:v>2809.6875</x:v>
      </x:c>
      <x:c r="D66" s="142" t="n">
        <x:f aca="0">D29</x:f>
        <x:v>2865.88125</x:v>
      </x:c>
      <x:c r="E66" s="142" t="n">
        <x:f aca="0">E29</x:f>
        <x:v>2923.198875</x:v>
      </x:c>
      <x:c r="F66" s="142" t="n">
        <x:f aca="0">F29</x:f>
        <x:v>2981.6628525</x:v>
      </x:c>
      <x:c r="G66" s="142" t="n">
        <x:f aca="0">G29</x:f>
        <x:v>3041.29610955</x:v>
      </x:c>
      <x:c r="H66" s="86"/>
      <x:c r="I66" s="86"/>
      <x:c r="J66" s="86"/>
    </x:row>
    <x:row r="67" ht="19" hidden="0" customHeight="1">
      <x:c r="A67" s="86"/>
      <x:c r="B67" s="109" t="str">
        <x:v>Net PP&amp;E</x:v>
      </x:c>
      <x:c r="C67" s="145" t="n">
        <x:f aca="0">C36</x:f>
        <x:v>2650.31675</x:v>
      </x:c>
      <x:c r="D67" s="145" t="n">
        <x:f aca="0">D36</x:f>
        <x:v>2713.7936959999997</x:v>
      </x:c>
      <x:c r="E67" s="145" t="n">
        <x:f aca="0">E36</x:f>
        <x:v>2778.54018092</x:v>
      </x:c>
      <x:c r="F67" s="145" t="n">
        <x:f aca="0">F36</x:f>
        <x:v>2844.5815955384</x:v>
      </x:c>
      <x:c r="G67" s="145" t="n">
        <x:f aca="0">G36</x:f>
        <x:v>2911.943838449168</x:v>
      </x:c>
      <x:c r="H67" s="86"/>
      <x:c r="I67" s="86"/>
      <x:c r="J67" s="86"/>
    </x:row>
    <x:row r="68" ht="19" hidden="0" customHeight="1">
      <x:c r="A68" s="86"/>
      <x:c r="B68" s="86" t="str">
        <x:v>Acquired intangibles</x:v>
      </x:c>
      <x:c r="C68" s="96" t="n">
        <x:f>C37</x:f>
        <x:v>0</x:v>
      </x:c>
      <x:c r="D68" s="96" t="n">
        <x:f>D37</x:f>
        <x:v>0</x:v>
      </x:c>
      <x:c r="E68" s="96" t="n">
        <x:f>E37</x:f>
        <x:v>0</x:v>
      </x:c>
      <x:c r="F68" s="96" t="n">
        <x:f>F37</x:f>
        <x:v>0</x:v>
      </x:c>
      <x:c r="G68" s="96" t="n">
        <x:f>G37</x:f>
        <x:v>0</x:v>
      </x:c>
      <x:c r="H68" s="86"/>
      <x:c r="I68" s="86"/>
      <x:c r="J68" s="86"/>
    </x:row>
    <x:row r="69" ht="19" hidden="0" customHeight="1">
      <x:c r="A69" s="109"/>
      <x:c r="B69" s="109" t="str">
        <x:v>Goodwill</x:v>
      </x:c>
      <x:c r="C69" s="198" t="n">
        <x:f>C38</x:f>
        <x:v>0</x:v>
      </x:c>
      <x:c r="D69" s="198" t="n">
        <x:f>D38</x:f>
        <x:v>0</x:v>
      </x:c>
      <x:c r="E69" s="198" t="n">
        <x:f>E38</x:f>
        <x:v>0</x:v>
      </x:c>
      <x:c r="F69" s="198" t="n">
        <x:f>F38</x:f>
        <x:v>0</x:v>
      </x:c>
      <x:c r="G69" s="198" t="n">
        <x:f>G38</x:f>
        <x:v>0</x:v>
      </x:c>
      <x:c r="H69" s="109"/>
      <x:c r="I69" s="86"/>
      <x:c r="J69" s="86"/>
    </x:row>
    <x:row r="70" ht="19" hidden="0" customHeight="1">
      <x:c r="A70" s="86"/>
      <x:c r="B70" s="86" t="str">
        <x:v>Operating lease assets</x:v>
      </x:c>
      <x:c r="C70" s="196" t="n">
        <x:f aca="0">'Verified Inputs'!$C$23</x:f>
        <x:v>3557</x:v>
      </x:c>
      <x:c r="D70" s="196" t="n">
        <x:f aca="0">'Verified Inputs'!$C$23</x:f>
        <x:v>3557</x:v>
      </x:c>
      <x:c r="E70" s="196" t="n">
        <x:f aca="0">'Verified Inputs'!$C$23</x:f>
        <x:v>3557</x:v>
      </x:c>
      <x:c r="F70" s="196" t="n">
        <x:f aca="0">'Verified Inputs'!$C$23</x:f>
        <x:v>3557</x:v>
      </x:c>
      <x:c r="G70" s="196" t="n">
        <x:f aca="0">'Verified Inputs'!$C$23</x:f>
        <x:v>3557</x:v>
      </x:c>
      <x:c r="H70" s="86"/>
      <x:c r="I70" s="86"/>
      <x:c r="J70" s="86"/>
    </x:row>
    <x:row r="71" ht="19" hidden="0" customHeight="1">
      <x:c r="A71" s="86"/>
      <x:c r="B71" s="86" t="str">
        <x:v>Other long-term assets</x:v>
      </x:c>
      <x:c r="C71" s="196" t="n">
        <x:f aca="0">'Verified Inputs'!$C$24</x:f>
        <x:v>874</x:v>
      </x:c>
      <x:c r="D71" s="196" t="n">
        <x:f aca="0">'Verified Inputs'!$C$24</x:f>
        <x:v>874</x:v>
      </x:c>
      <x:c r="E71" s="196" t="n">
        <x:f aca="0">'Verified Inputs'!$C$24</x:f>
        <x:v>874</x:v>
      </x:c>
      <x:c r="F71" s="196" t="n">
        <x:f aca="0">'Verified Inputs'!$C$24</x:f>
        <x:v>874</x:v>
      </x:c>
      <x:c r="G71" s="196" t="n">
        <x:f aca="0">'Verified Inputs'!$C$24</x:f>
        <x:v>874</x:v>
      </x:c>
      <x:c r="H71" s="86"/>
      <x:c r="I71" s="86"/>
      <x:c r="J71" s="86"/>
    </x:row>
    <x:row r="72" ht="19" hidden="0" customHeight="1">
      <x:c r="A72" s="86"/>
      <x:c r="B72" s="206" t="str">
        <x:v>Total assets</x:v>
      </x:c>
      <x:c r="C72" s="207" t="n">
        <x:f aca="0">SUM(C64:C71)</x:f>
        <x:v>13284.997133433219</x:v>
      </x:c>
      <x:c r="D72" s="207" t="n">
        <x:f aca="0">SUM(D64:D71)</x:f>
        <x:v>13816.847426598502</x:v>
      </x:c>
      <x:c r="E72" s="207" t="n">
        <x:f aca="0">SUM(E64:E71)</x:f>
        <x:v>14360.880853251105</x:v>
      </x:c>
      <x:c r="F72" s="207" t="n">
        <x:f aca="0">SUM(F64:F71)</x:f>
        <x:v>14938.683054672707</x:v>
      </x:c>
      <x:c r="G72" s="207" t="n">
        <x:f aca="0">SUM(G64:G71)</x:f>
        <x:v>15540.545814221832</x:v>
      </x:c>
      <x:c r="H72" s="86"/>
      <x:c r="I72" s="86"/>
      <x:c r="J72" s="86"/>
    </x:row>
    <x:row r="73" ht="24" hidden="0" customHeight="1">
      <x:c r="A73" s="86"/>
      <x:c r="B73" s="103" t="str">
        <x:v>Balance sheet — liabilities and equity</x:v>
      </x:c>
      <x:c r="C73" s="151"/>
      <x:c r="D73" s="151"/>
      <x:c r="E73" s="151"/>
      <x:c r="F73" s="151"/>
      <x:c r="G73" s="151"/>
      <x:c r="H73" s="103"/>
      <x:c r="I73" s="103"/>
      <x:c r="J73" s="103"/>
    </x:row>
    <x:row r="74" ht="19" hidden="0" customHeight="1">
      <x:c r="A74" s="86"/>
      <x:c r="B74" s="86" t="str">
        <x:v>Operating current liabilities</x:v>
      </x:c>
      <x:c r="C74" s="142" t="n">
        <x:f aca="0">C30</x:f>
        <x:v>2699.325</x:v>
      </x:c>
      <x:c r="D74" s="142" t="n">
        <x:f aca="0">D30</x:f>
        <x:v>2753.3115</x:v>
      </x:c>
      <x:c r="E74" s="142" t="n">
        <x:f aca="0">E30</x:f>
        <x:v>2808.3777299999997</x:v>
      </x:c>
      <x:c r="F74" s="142" t="n">
        <x:f aca="0">F30</x:f>
        <x:v>2864.5452846</x:v>
      </x:c>
      <x:c r="G74" s="142" t="n">
        <x:f aca="0">G30</x:f>
        <x:v>2921.8361902919996</x:v>
      </x:c>
      <x:c r="H74" s="86"/>
      <x:c r="I74" s="86"/>
      <x:c r="J74" s="86"/>
    </x:row>
    <x:row r="75" ht="19" hidden="0" customHeight="1">
      <x:c r="A75" s="86"/>
      <x:c r="B75" s="109" t="str">
        <x:v>Funded debt</x:v>
      </x:c>
      <x:c r="C75" s="145" t="n">
        <x:f aca="0">C49</x:f>
        <x:v>1493</x:v>
      </x:c>
      <x:c r="D75" s="145" t="n">
        <x:f aca="0">D49</x:f>
        <x:v>1493</x:v>
      </x:c>
      <x:c r="E75" s="145" t="n">
        <x:f aca="0">E49</x:f>
        <x:v>1493</x:v>
      </x:c>
      <x:c r="F75" s="145" t="n">
        <x:f aca="0">F49</x:f>
        <x:v>1493</x:v>
      </x:c>
      <x:c r="G75" s="145" t="n">
        <x:f aca="0">G49</x:f>
        <x:v>1493</x:v>
      </x:c>
      <x:c r="H75" s="86"/>
      <x:c r="I75" s="86"/>
      <x:c r="J75" s="86"/>
    </x:row>
    <x:row r="76" ht="19" hidden="0" customHeight="1">
      <x:c r="A76" s="86"/>
      <x:c r="B76" s="86" t="str">
        <x:v>Operating lease liabilities</x:v>
      </x:c>
      <x:c r="C76" s="196" t="n">
        <x:f aca="0">'Verified Inputs'!$C$25</x:f>
        <x:v>4227</x:v>
      </x:c>
      <x:c r="D76" s="196" t="n">
        <x:f aca="0">'Verified Inputs'!$C$25</x:f>
        <x:v>4227</x:v>
      </x:c>
      <x:c r="E76" s="196" t="n">
        <x:f aca="0">'Verified Inputs'!$C$25</x:f>
        <x:v>4227</x:v>
      </x:c>
      <x:c r="F76" s="196" t="n">
        <x:f aca="0">'Verified Inputs'!$C$25</x:f>
        <x:v>4227</x:v>
      </x:c>
      <x:c r="G76" s="196" t="n">
        <x:f aca="0">'Verified Inputs'!$C$25</x:f>
        <x:v>4227</x:v>
      </x:c>
      <x:c r="H76" s="86"/>
      <x:c r="I76" s="86"/>
      <x:c r="J76" s="86"/>
    </x:row>
    <x:row r="77" ht="19" hidden="0" customHeight="1">
      <x:c r="A77" s="86"/>
      <x:c r="B77" s="86" t="str">
        <x:v>Other long-term liabilities</x:v>
      </x:c>
      <x:c r="C77" s="196" t="n">
        <x:f>'Verified Inputs'!$C$26</x:f>
        <x:v>582</x:v>
      </x:c>
      <x:c r="D77" s="196" t="n">
        <x:f>'Verified Inputs'!$C$26</x:f>
        <x:v>582</x:v>
      </x:c>
      <x:c r="E77" s="196" t="n">
        <x:f>'Verified Inputs'!$C$26</x:f>
        <x:v>582</x:v>
      </x:c>
      <x:c r="F77" s="196" t="n">
        <x:f>'Verified Inputs'!$C$26</x:f>
        <x:v>582</x:v>
      </x:c>
      <x:c r="G77" s="196" t="n">
        <x:f>'Verified Inputs'!$C$26</x:f>
        <x:v>582</x:v>
      </x:c>
      <x:c r="H77" s="86"/>
      <x:c r="I77" s="86"/>
      <x:c r="J77" s="86"/>
    </x:row>
    <x:row r="78" ht="19" hidden="0" customHeight="1">
      <x:c r="A78" s="86"/>
      <x:c r="B78" s="206" t="str">
        <x:v>Total liabilities</x:v>
      </x:c>
      <x:c r="C78" s="207" t="n">
        <x:f>SUM(C74:C77)</x:f>
        <x:v>9001.325</x:v>
      </x:c>
      <x:c r="D78" s="207" t="n">
        <x:f>SUM(D74:D77)</x:f>
        <x:v>9055.3115</x:v>
      </x:c>
      <x:c r="E78" s="207" t="n">
        <x:f>SUM(E74:E77)</x:f>
        <x:v>9110.37773</x:v>
      </x:c>
      <x:c r="F78" s="207" t="n">
        <x:f>SUM(F74:F77)</x:f>
        <x:v>9166.5452846</x:v>
      </x:c>
      <x:c r="G78" s="207" t="n">
        <x:f>SUM(G74:G77)</x:f>
        <x:v>9223.836190292</x:v>
      </x:c>
      <x:c r="H78" s="86"/>
      <x:c r="I78" s="86"/>
      <x:c r="J78" s="86"/>
    </x:row>
    <x:row r="79" ht="19" hidden="0" customHeight="1">
      <x:c r="A79" s="86"/>
      <x:c r="B79" s="86" t="str">
        <x:v>Equity roll-forward</x:v>
      </x:c>
      <x:c r="C79" s="196" t="n">
        <x:f aca="0">'Verified Inputs'!$C$17+C25+C21+C58+C59</x:f>
        <x:v>4283.67213343322</x:v>
      </x:c>
      <x:c r="D79" s="142" t="n">
        <x:f aca="0">C79+D25+D21+D58+D59</x:f>
        <x:v>4761.535926598503</x:v>
      </x:c>
      <x:c r="E79" s="142" t="n">
        <x:f aca="0">D79+E25+E21+E58+E59</x:f>
        <x:v>5250.503123251106</x:v>
      </x:c>
      <x:c r="F79" s="142" t="n">
        <x:f aca="0">E79+F25+F21+F58+F59</x:f>
        <x:v>5772.137770072707</x:v>
      </x:c>
      <x:c r="G79" s="142" t="n">
        <x:f aca="0">F79+G25+G21+G58+G59</x:f>
        <x:v>6316.7096239298335</x:v>
      </x:c>
      <x:c r="H79" s="86"/>
      <x:c r="I79" s="86"/>
      <x:c r="J79" s="86"/>
    </x:row>
    <x:row r="80" ht="19" hidden="0" customHeight="1">
      <x:c r="A80" s="86"/>
      <x:c r="B80" s="206" t="str">
        <x:v>Liabilities + equity</x:v>
      </x:c>
      <x:c r="C80" s="207" t="n">
        <x:f aca="0">C78+C79</x:f>
        <x:v>13284.99713343322</x:v>
      </x:c>
      <x:c r="D80" s="207" t="n">
        <x:f aca="0">D78+D79</x:f>
        <x:v>13816.847426598502</x:v>
      </x:c>
      <x:c r="E80" s="207" t="n">
        <x:f aca="0">E78+E79</x:f>
        <x:v>14360.880853251107</x:v>
      </x:c>
      <x:c r="F80" s="207" t="n">
        <x:f aca="0">F78+F79</x:f>
        <x:v>14938.683054672707</x:v>
      </x:c>
      <x:c r="G80" s="207" t="n">
        <x:f aca="0">G78+G79</x:f>
        <x:v>15540.545814221834</x:v>
      </x:c>
      <x:c r="H80" s="86"/>
      <x:c r="I80" s="86"/>
      <x:c r="J80" s="86"/>
    </x:row>
    <x:row r="81" ht="19" hidden="0" customHeight="1">
      <x:c r="A81" s="86"/>
      <x:c r="B81" s="206" t="str">
        <x:v>Balance difference</x:v>
      </x:c>
      <x:c r="C81" s="207" t="n">
        <x:f aca="0">C72-C80</x:f>
        <x:v>-1.8189894035458565e-12</x:v>
      </x:c>
      <x:c r="D81" s="207" t="n">
        <x:f aca="0">D72-D80</x:f>
        <x:v>0</x:v>
      </x:c>
      <x:c r="E81" s="207" t="n">
        <x:f aca="0">E72-E80</x:f>
        <x:v>-1.8189894035458565e-12</x:v>
      </x:c>
      <x:c r="F81" s="207" t="n">
        <x:f aca="0">F72-F80</x:f>
        <x:v>0</x:v>
      </x:c>
      <x:c r="G81" s="207" t="n">
        <x:f aca="0">G72-G80</x:f>
        <x:v>-1.8189894035458565e-12</x:v>
      </x:c>
      <x:c r="H81" s="86"/>
      <x:c r="I81" s="86"/>
      <x:c r="J81" s="86"/>
    </x:row>
    <x:row r="82" ht="19" hidden="0" customHeight="1">
      <x:c r="A82" s="86"/>
      <x:c r="B82" s="86"/>
      <x:c r="C82" s="127"/>
      <x:c r="D82" s="127"/>
      <x:c r="E82" s="127"/>
      <x:c r="F82" s="127"/>
      <x:c r="G82" s="127"/>
      <x:c r="H82" s="86"/>
      <x:c r="I82" s="86"/>
      <x:c r="J82" s="86"/>
    </x:row>
    <x:row r="83" ht="24" hidden="0" customHeight="1">
      <x:c r="A83" s="86"/>
      <x:c r="B83" s="103" t="str">
        <x:v>Cash flow for valuation</x:v>
      </x:c>
      <x:c r="C83" s="151"/>
      <x:c r="D83" s="151"/>
      <x:c r="E83" s="151"/>
      <x:c r="F83" s="151"/>
      <x:c r="G83" s="151"/>
      <x:c r="H83" s="103"/>
      <x:c r="I83" s="103"/>
      <x:c r="J83" s="103"/>
    </x:row>
    <x:row r="84" ht="19" hidden="0" customHeight="1">
      <x:c r="A84" s="86"/>
      <x:c r="B84" s="86" t="str">
        <x:v>EBIT</x:v>
      </x:c>
      <x:c r="C84" s="142" t="n">
        <x:f>C15</x:f>
        <x:v>725.8556249999999</x:v>
      </x:c>
      <x:c r="D84" s="142" t="n">
        <x:f>D15</x:f>
        <x:v>1190.1927374999998</x:v>
      </x:c>
      <x:c r="E84" s="142" t="n">
        <x:f>E15</x:f>
        <x:v>1213.9965922499998</x:v>
      </x:c>
      <x:c r="F84" s="142" t="n">
        <x:f>F15</x:f>
        <x:v>1238.276524095</x:v>
      </x:c>
      <x:c r="G84" s="142" t="n">
        <x:f>G15</x:f>
        <x:v>1263.0420545768998</x:v>
      </x:c>
      <x:c r="H84" s="86"/>
      <x:c r="I84" s="86"/>
      <x:c r="J84" s="86"/>
    </x:row>
    <x:row r="85" ht="19" hidden="0" customHeight="1">
      <x:c r="A85" s="86"/>
      <x:c r="B85" s="86" t="str">
        <x:v>Cash tax on EBIT</x:v>
      </x:c>
      <x:c r="C85" s="196" t="n">
        <x:f aca="0">-MAX(0,C84)*'Assumptions'!$F$14</x:f>
        <x:v>-199.610296875</x:v>
      </x:c>
      <x:c r="D85" s="196" t="n">
        <x:f aca="0">-MAX(0,D84)*'Assumptions'!$F$14</x:f>
        <x:v>-327.3030028125</x:v>
      </x:c>
      <x:c r="E85" s="196" t="n">
        <x:f aca="0">-MAX(0,E84)*'Assumptions'!$F$14</x:f>
        <x:v>-333.84906286874997</x:v>
      </x:c>
      <x:c r="F85" s="196" t="n">
        <x:f aca="0">-MAX(0,F84)*'Assumptions'!$F$14</x:f>
        <x:v>-340.52604412612504</x:v>
      </x:c>
      <x:c r="G85" s="196" t="n">
        <x:f aca="0">-MAX(0,G84)*'Assumptions'!$F$14</x:f>
        <x:v>-347.3365650086475</x:v>
      </x:c>
      <x:c r="H85" s="86"/>
      <x:c r="I85" s="86"/>
      <x:c r="J85" s="86"/>
    </x:row>
    <x:row r="86" ht="19" hidden="0" customHeight="1">
      <x:c r="A86" s="86"/>
      <x:c r="B86" s="109" t="str">
        <x:v>NOPAT</x:v>
      </x:c>
      <x:c r="C86" s="145" t="n">
        <x:f aca="0">C84+C85</x:f>
        <x:v>526.2453281249999</x:v>
      </x:c>
      <x:c r="D86" s="145" t="n">
        <x:f aca="0">D84+D85</x:f>
        <x:v>862.8897346874999</x:v>
      </x:c>
      <x:c r="E86" s="145" t="n">
        <x:f aca="0">E84+E85</x:f>
        <x:v>880.1475293812498</x:v>
      </x:c>
      <x:c r="F86" s="145" t="n">
        <x:f aca="0">F84+F85</x:f>
        <x:v>897.750479968875</x:v>
      </x:c>
      <x:c r="G86" s="145" t="n">
        <x:f aca="0">G84+G85</x:f>
        <x:v>915.7054895682522</x:v>
      </x:c>
      <x:c r="H86" s="86"/>
      <x:c r="I86" s="86"/>
      <x:c r="J86" s="86"/>
    </x:row>
    <x:row r="87" ht="19" hidden="0" customHeight="1">
      <x:c r="A87" s="86"/>
      <x:c r="B87" s="109" t="str">
        <x:v>Add D&amp;A</x:v>
      </x:c>
      <x:c r="C87" s="145" t="n">
        <x:f aca="0">C19</x:f>
        <x:v>269.12239999999997</x:v>
      </x:c>
      <x:c r="D87" s="145" t="n">
        <x:f aca="0">D19</x:f>
        <x:v>507.815568</x:v>
      </x:c>
      <x:c r="E87" s="145" t="n">
        <x:f aca="0">E19</x:f>
        <x:v>517.97187936</x:v>
      </x:c>
      <x:c r="F87" s="145" t="n">
        <x:f aca="0">F19</x:f>
        <x:v>528.3313169472</x:v>
      </x:c>
      <x:c r="G87" s="145" t="n">
        <x:f aca="0">G19</x:f>
        <x:v>538.8979432861439</x:v>
      </x:c>
      <x:c r="H87" s="86"/>
      <x:c r="I87" s="86"/>
      <x:c r="J87" s="86"/>
    </x:row>
    <x:row r="88" ht="19" hidden="0" customHeight="1">
      <x:c r="A88" s="86"/>
      <x:c r="B88" s="109" t="str">
        <x:v>Less capex</x:v>
      </x:c>
      <x:c r="C88" s="145" t="n">
        <x:f aca="0">-C35</x:f>
        <x:v>-364.43915000000004</x:v>
      </x:c>
      <x:c r="D88" s="145" t="n">
        <x:f aca="0">-D35</x:f>
        <x:v>-571.2925139999999</x:v>
      </x:c>
      <x:c r="E88" s="145" t="n">
        <x:f aca="0">-E35</x:f>
        <x:v>-582.71836428</x:v>
      </x:c>
      <x:c r="F88" s="145" t="n">
        <x:f aca="0">-F35</x:f>
        <x:v>-594.3727315655999</x:v>
      </x:c>
      <x:c r="G88" s="145" t="n">
        <x:f aca="0">-G35</x:f>
        <x:v>-606.260186196912</x:v>
      </x:c>
      <x:c r="H88" s="86"/>
      <x:c r="I88" s="86"/>
      <x:c r="J88" s="86"/>
    </x:row>
    <x:row r="89" ht="19" hidden="0" customHeight="1">
      <x:c r="A89" s="86"/>
      <x:c r="B89" s="109" t="str">
        <x:v>Cash from working capital</x:v>
      </x:c>
      <x:c r="C89" s="145" t="n">
        <x:f aca="0">C32</x:f>
        <x:v>671.6374999999998</x:v>
      </x:c>
      <x:c r="D89" s="145" t="n">
        <x:f aca="0">D32</x:f>
        <x:v>-2.207249999999931</x:v>
      </x:c>
      <x:c r="E89" s="145" t="n">
        <x:f aca="0">E32</x:f>
        <x:v>-2.2513950000002296</x:v>
      </x:c>
      <x:c r="F89" s="145" t="n">
        <x:f aca="0">F32</x:f>
        <x:v>-2.296422899999925</x:v>
      </x:c>
      <x:c r="G89" s="145" t="n">
        <x:f aca="0">G32</x:f>
        <x:v>-2.342351358000087</x:v>
      </x:c>
      <x:c r="H89" s="86"/>
      <x:c r="I89" s="86"/>
      <x:c r="J89" s="86"/>
    </x:row>
    <x:row r="90" ht="19" hidden="0" customHeight="1">
      <x:c r="A90" s="86"/>
      <x:c r="B90" s="206" t="str">
        <x:v>Unlevered cash flow (SBC expensed)</x:v>
      </x:c>
      <x:c r="C90" s="208" t="n">
        <x:f>SUM(C86:C89)</x:f>
        <x:v>1102.5660781249996</x:v>
      </x:c>
      <x:c r="D90" s="208" t="n">
        <x:f>SUM(D86:D89)</x:f>
        <x:v>797.2055386875</x:v>
      </x:c>
      <x:c r="E90" s="208" t="n">
        <x:f>SUM(E86:E89)</x:f>
        <x:v>813.1496494612496</x:v>
      </x:c>
      <x:c r="F90" s="208" t="n">
        <x:f>SUM(F86:F89)</x:f>
        <x:v>829.412642450475</x:v>
      </x:c>
      <x:c r="G90" s="208" t="n">
        <x:f>SUM(G86:G89)</x:f>
        <x:v>846.000895299484</x:v>
      </x:c>
      <x:c r="H90" s="86"/>
      <x:c r="I90" s="86"/>
      <x:c r="J90" s="86"/>
    </x:row>
    <x:row r="91" ht="19" hidden="0" customHeight="1">
      <x:c r="A91" s="109"/>
      <x:c r="B91" s="109"/>
      <x:c r="C91" s="109"/>
      <x:c r="D91" s="109"/>
      <x:c r="E91" s="109"/>
      <x:c r="F91" s="109"/>
      <x:c r="G91" s="109"/>
      <x:c r="H91" s="109"/>
      <x:c r="I91" s="86"/>
      <x:c r="J91" s="86"/>
    </x:row>
    <x:row r="92" ht="19" hidden="0" customHeight="1">
      <x:c r="A92" s="86"/>
      <x:c r="B92" s="86" t="str">
        <x:v>Annualized EBITDA for comparison</x:v>
      </x:c>
      <x:c r="C92" s="196" t="n">
        <x:f aca="0">C9*C13-(C9*('Assumptions'!$F$20-'Verified Inputs'!$C$52))+C9*'Assumptions'!$F$15+'Verified Inputs'!$C$21/'Verified Inputs'!$C$51</x:f>
        <x:v>1664.7140249999998</x:v>
      </x:c>
      <x:c r="D92" s="142" t="n">
        <x:f aca="0">D20</x:f>
        <x:v>1698.0083054999998</x:v>
      </x:c>
      <x:c r="E92" s="142" t="n">
        <x:f aca="0">E20</x:f>
        <x:v>1731.9684716099998</x:v>
      </x:c>
      <x:c r="F92" s="142" t="n">
        <x:f aca="0">F20</x:f>
        <x:v>1766.6078410422</x:v>
      </x:c>
      <x:c r="G92" s="142" t="n">
        <x:f aca="0">G20</x:f>
        <x:v>1801.9399978630436</x:v>
      </x:c>
      <x:c r="H92" s="86"/>
      <x:c r="I92" s="86"/>
      <x:c r="J92" s="86"/>
    </x:row>
    <x:row r="93" ht="19" hidden="0" customHeight="1">
      <x:c r="A93" s="86"/>
      <x:c r="B93" s="86" t="str">
        <x:v>Cash before discretionary distributions</x:v>
      </x:c>
      <x:c r="C93" s="142" t="n">
        <x:f aca="0">C50+C57+C48</x:f>
        <x:v>3288.438417679794</x:v>
      </x:c>
      <x:c r="D93" s="142" t="n">
        <x:f aca="0">D50+D57+D48</x:f>
        <x:v>3984.6749386806932</x:v>
      </x:c>
      <x:c r="E93" s="142" t="n">
        <x:f aca="0">E50+E57+E48</x:f>
        <x:v>4425.413644177681</x:v>
      </x:c>
      <x:c r="F93" s="142" t="n">
        <x:f aca="0">F50+F57+F48</x:f>
        <x:v>4875.855719208224</x:v>
      </x:c>
      <x:c r="G93" s="142" t="n">
        <x:f aca="0">G50+G57+G48</x:f>
        <x:v>5359.040149708046</x:v>
      </x:c>
      <x:c r="H93" s="86"/>
      <x:c r="I93" s="86"/>
      <x:c r="J93" s="86"/>
    </x:row>
    <x:row r="94" ht="19" hidden="0" customHeight="1">
      <x:c r="A94" s="86"/>
      <x:c r="B94" s="109" t="str">
        <x:v>Minimum-cash shortfall</x:v>
      </x:c>
      <x:c r="C94" s="192" t="n">
        <x:f aca="0">MAX(0,'Verified Inputs'!$C$27-C61)</x:f>
        <x:v>0</x:v>
      </x:c>
      <x:c r="D94" s="192" t="n">
        <x:f aca="0">MAX(0,'Verified Inputs'!$C$27-D61)</x:f>
        <x:v>0</x:v>
      </x:c>
      <x:c r="E94" s="192" t="n">
        <x:f aca="0">MAX(0,'Verified Inputs'!$C$27-E61)</x:f>
        <x:v>0</x:v>
      </x:c>
      <x:c r="F94" s="192" t="n">
        <x:f aca="0">MAX(0,'Verified Inputs'!$C$27-F61)</x:f>
        <x:v>0</x:v>
      </x:c>
      <x:c r="G94" s="192" t="n">
        <x:f aca="0">MAX(0,'Verified Inputs'!$C$27-G61)</x:f>
        <x:v>0</x:v>
      </x:c>
      <x:c r="H94" s="86"/>
      <x:c r="I94" s="86"/>
      <x:c r="J94" s="86"/>
    </x:row>
    <x:row r="95" ht="19" hidden="0" customHeight="1">
      <x:c r="A95" s="86"/>
      <x:c r="B95" s="86" t="str">
        <x:v>Full-year revenue check</x:v>
      </x:c>
      <x:c r="C95" s="196" t="n">
        <x:f aca="0">C9-'Verified Inputs'!$C$36-C12</x:f>
        <x:v>0</x:v>
      </x:c>
      <x:c r="D95" s="142" t="n">
        <x:f aca="0">D9-D12</x:f>
        <x:v>0</x:v>
      </x:c>
      <x:c r="E95" s="142" t="n">
        <x:f aca="0">E9-E12</x:f>
        <x:v>0</x:v>
      </x:c>
      <x:c r="F95" s="142" t="n">
        <x:f aca="0">F9-F12</x:f>
        <x:v>0</x:v>
      </x:c>
      <x:c r="G95" s="142" t="n">
        <x:f aca="0">G9-G12</x:f>
        <x:v>0</x:v>
      </x:c>
      <x:c r="H95" s="86"/>
      <x:c r="I95" s="86"/>
      <x:c r="J95" s="86"/>
    </x:row>
    <x:row r="96" ht="19" hidden="0" customHeight="1">
      <x:c r="A96" s="86"/>
      <x:c r="B96" s="86"/>
      <x:c r="C96" s="127"/>
      <x:c r="D96" s="127"/>
      <x:c r="E96" s="127"/>
      <x:c r="F96" s="127"/>
      <x:c r="G96" s="127"/>
      <x:c r="H96" s="86"/>
      <x:c r="I96" s="86"/>
      <x:c r="J96" s="86"/>
    </x:row>
    <x:row r="97" ht="19" hidden="0" customHeight="1">
      <x:c r="A97" s="86"/>
      <x:c r="B97" s="86"/>
      <x:c r="C97" s="127"/>
      <x:c r="D97" s="127"/>
      <x:c r="E97" s="127"/>
      <x:c r="F97" s="127"/>
      <x:c r="G97" s="127"/>
      <x:c r="H97" s="86"/>
      <x:c r="I97" s="86"/>
      <x:c r="J97" s="86"/>
    </x:row>
    <x:row r="98" ht="19" hidden="0" customHeight="1">
      <x:c r="A98" s="86"/>
      <x:c r="B98" s="109"/>
      <x:c r="C98" s="128"/>
      <x:c r="D98" s="128"/>
      <x:c r="E98" s="128"/>
      <x:c r="F98" s="128"/>
      <x:c r="G98" s="128"/>
      <x:c r="H98" s="86"/>
      <x:c r="I98" s="86"/>
      <x:c r="J98" s="86"/>
    </x:row>
    <x:row r="99" ht="19" hidden="0" customHeight="1">
      <x:c r="A99" s="86"/>
      <x:c r="B99" s="105" t="str">
        <x:v>This is a normalized operating projection, not a GAAP earnings forecast. Strategic-investment gains, future M&amp;A purchase accounting and tax-loss refunds are excluded. Cash distributions are capped by liquidity; debt changes are explicit inputs. Asset and equity balances roll from disclosed opening components.</x:v>
      </x:c>
      <x:c r="C99" s="105"/>
      <x:c r="D99" s="105"/>
      <x:c r="E99" s="105"/>
      <x:c r="F99" s="105"/>
      <x:c r="G99" s="105"/>
      <x:c r="H99" s="105"/>
      <x:c r="I99" s="105"/>
      <x:c r="J99" s="105"/>
    </x:row>
    <x:row r="100" ht="19" hidden="0" customHeight="1">
      <x:c r="A100" s="86"/>
      <x:c r="B100" s="105"/>
      <x:c r="C100" s="105"/>
      <x:c r="D100" s="105"/>
      <x:c r="E100" s="105"/>
      <x:c r="F100" s="105"/>
      <x:c r="G100" s="105"/>
      <x:c r="H100" s="105"/>
      <x:c r="I100" s="105"/>
      <x:c r="J100" s="105"/>
    </x:row>
    <x:row r="101" ht="19" hidden="0" customHeight="1">
      <x:c r="A101" s="86"/>
      <x:c r="B101" s="105"/>
      <x:c r="C101" s="105"/>
      <x:c r="D101" s="105"/>
      <x:c r="E101" s="105"/>
      <x:c r="F101" s="105"/>
      <x:c r="G101" s="105"/>
      <x:c r="H101" s="105"/>
      <x:c r="I101" s="105"/>
      <x:c r="J101" s="105"/>
    </x:row>
    <x:row r="102" ht="19" hidden="0" customHeight="1">
      <x:c r="A102" s="86"/>
      <x:c r="B102" s="105"/>
      <x:c r="C102" s="105"/>
      <x:c r="D102" s="105"/>
      <x:c r="E102" s="105"/>
      <x:c r="F102" s="105"/>
      <x:c r="G102" s="105"/>
      <x:c r="H102" s="105"/>
      <x:c r="I102" s="105"/>
      <x:c r="J102" s="105"/>
    </x:row>
    <x:row r="103" ht="19" hidden="0" customHeight="1">
      <x:c r="A103" s="86"/>
      <x:c r="B103" s="86"/>
      <x:c r="C103" s="86"/>
      <x:c r="D103" s="86"/>
      <x:c r="E103" s="86"/>
      <x:c r="F103" s="86"/>
      <x:c r="G103" s="86"/>
      <x:c r="H103" s="86"/>
      <x:c r="I103" s="86"/>
      <x:c r="J103" s="86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  <x:row r="141" ht="15" hidden="0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</x:row>
    <x:row r="142" ht="15" hidden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</x:row>
    <x:row r="143" ht="15" hidden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</x:row>
    <x:row r="144" ht="15" hidden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</x:row>
    <x:row r="145" ht="15" hidden="0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</x:row>
    <x:row r="146" ht="15" hidden="0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</x:row>
    <x:row r="147" ht="15" hidden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</x:row>
    <x:row r="148" ht="15" hidden="0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</x:row>
    <x:row r="149" ht="15" hidden="0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</x:row>
    <x:row r="150" ht="15" hidden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</x:row>
  </x:sheetData>
  <x:mergeCells>
    <x:mergeCell ref="A1:J1"/>
    <x:mergeCell ref="A2:J3"/>
    <x:mergeCell ref="B8:J8"/>
    <x:mergeCell ref="B28:J28"/>
    <x:mergeCell ref="B34:J34"/>
    <x:mergeCell ref="B39:J39"/>
    <x:mergeCell ref="B46:J46"/>
    <x:mergeCell ref="B63:J63"/>
    <x:mergeCell ref="B73:J73"/>
    <x:mergeCell ref="B83:J83"/>
    <x:mergeCell ref="B99:J102"/>
  </x:mergeCells>
  <x:pageMargins left="0.7" right="0.7" top="0.75" bottom="0.75" header="0.3" footer="0.3"/>
  <x:legacyDrawing xmlns:r="http://schemas.openxmlformats.org/officeDocument/2006/relationships" r:id="Rce74aaa3f2f24878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10" width="1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COMPARABLES | SELECTED MULTIPLES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Peer reference assumptions. Selected valuation multiples are set on the Assumptions tab.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122" t="str">
        <x:v>Company</x:v>
      </x:c>
      <x:c r="C5" s="122" t="str">
        <x:v>Ticker</x:v>
      </x:c>
      <x:c r="D5" s="112" t="str">
        <x:v>EV / EBITDA</x:v>
      </x:c>
      <x:c r="E5" s="112" t="str">
        <x:v>EV / sales</x:v>
      </x:c>
      <x:c r="F5" s="112" t="str">
        <x:v>Forward P/E</x:v>
      </x:c>
      <x:c r="G5" s="112"/>
      <x:c r="H5" s="112"/>
      <x:c r="I5" s="112"/>
      <x:c r="J5" s="112"/>
      <x:c r="K5" s="2"/>
      <x:c r="L5" s="2"/>
    </x:row>
    <x:row r="6" ht="19" hidden="0" customHeight="1">
      <x:c r="A6" s="86"/>
      <x:c r="B6" s="86" t="str">
        <x:v>Abercrombie &amp; Fitch</x:v>
      </x:c>
      <x:c r="C6" s="86" t="str">
        <x:v>ANF</x:v>
      </x:c>
      <x:c r="D6" s="158" t="n">
        <x:v>7.64</x:v>
      </x:c>
      <x:c r="E6" s="158" t="n">
        <x:v>1.31</x:v>
      </x:c>
      <x:c r="F6" s="158" t="n">
        <x:v>12.18</x:v>
      </x:c>
      <x:c r="G6" s="131"/>
      <x:c r="H6" s="131"/>
      <x:c r="I6" s="131"/>
      <x:c r="J6" s="131"/>
      <x:c r="K6" s="2"/>
      <x:c r="L6" s="2"/>
    </x:row>
    <x:row r="7" ht="19" hidden="0" customHeight="1">
      <x:c r="A7" s="86"/>
      <x:c r="B7" s="86" t="str">
        <x:v>American Eagle</x:v>
      </x:c>
      <x:c r="C7" s="86" t="str">
        <x:v>AEO</x:v>
      </x:c>
      <x:c r="D7" s="158" t="n">
        <x:v>7.27</x:v>
      </x:c>
      <x:c r="E7" s="158" t="n">
        <x:v>0.83</x:v>
      </x:c>
      <x:c r="F7" s="158" t="n">
        <x:v>9.8</x:v>
      </x:c>
      <x:c r="G7" s="131"/>
      <x:c r="H7" s="131"/>
      <x:c r="I7" s="131"/>
      <x:c r="J7" s="131"/>
      <x:c r="K7" s="2"/>
      <x:c r="L7" s="2"/>
    </x:row>
    <x:row r="8" ht="19" hidden="0" customHeight="1">
      <x:c r="A8" s="86"/>
      <x:c r="B8" s="86" t="str">
        <x:v>Urban Outfitters</x:v>
      </x:c>
      <x:c r="C8" s="86" t="str">
        <x:v>URBN</x:v>
      </x:c>
      <x:c r="D8" s="158" t="n">
        <x:v>9.2</x:v>
      </x:c>
      <x:c r="E8" s="158" t="n">
        <x:v>1.11</x:v>
      </x:c>
      <x:c r="F8" s="158" t="n">
        <x:v>12.41</x:v>
      </x:c>
      <x:c r="G8" s="131"/>
      <x:c r="H8" s="131"/>
      <x:c r="I8" s="131"/>
      <x:c r="J8" s="131"/>
      <x:c r="K8" s="2"/>
      <x:c r="L8" s="2"/>
    </x:row>
    <x:row r="9" ht="19" hidden="0" customHeight="1">
      <x:c r="A9" s="86"/>
      <x:c r="B9" s="86" t="str">
        <x:v>Levi Strauss</x:v>
      </x:c>
      <x:c r="C9" s="86" t="str">
        <x:v>LEVI</x:v>
      </x:c>
      <x:c r="D9" s="158" t="n">
        <x:v>9.68</x:v>
      </x:c>
      <x:c r="E9" s="158" t="n">
        <x:v>1.42</x:v>
      </x:c>
      <x:c r="F9" s="158" t="n">
        <x:v>13.12</x:v>
      </x:c>
      <x:c r="G9" s="131"/>
      <x:c r="H9" s="131"/>
      <x:c r="I9" s="131"/>
      <x:c r="J9" s="131"/>
      <x:c r="K9" s="2"/>
      <x:c r="L9" s="2"/>
    </x:row>
    <x:row r="10" ht="19" hidden="0" customHeight="1">
      <x:c r="A10" s="86"/>
      <x:c r="B10" s="86" t="str">
        <x:v>Ralph Lauren</x:v>
      </x:c>
      <x:c r="C10" s="86" t="str">
        <x:v>RL</x:v>
      </x:c>
      <x:c r="D10" s="158" t="n">
        <x:v>13.8</x:v>
      </x:c>
      <x:c r="E10" s="158" t="n">
        <x:v>2.63</x:v>
      </x:c>
      <x:c r="F10" s="158" t="n">
        <x:v>17.91</x:v>
      </x:c>
      <x:c r="G10" s="131"/>
      <x:c r="H10" s="131"/>
      <x:c r="I10" s="131"/>
      <x:c r="J10" s="131"/>
      <x:c r="K10" s="2"/>
      <x:c r="L10" s="2"/>
    </x:row>
    <x:row r="11" ht="19" hidden="0" customHeight="1">
      <x:c r="A11" s="86"/>
      <x:c r="B11" s="86" t="str">
        <x:v>Victoria's Secret</x:v>
      </x:c>
      <x:c r="C11" s="86" t="str">
        <x:v>VSCO</x:v>
      </x:c>
      <x:c r="D11" s="158" t="n">
        <x:v>11.43</x:v>
      </x:c>
      <x:c r="E11" s="158" t="n">
        <x:v>1.22</x:v>
      </x:c>
      <x:c r="F11" s="158" t="n">
        <x:v>15.15</x:v>
      </x:c>
      <x:c r="G11" s="131"/>
      <x:c r="H11" s="131"/>
      <x:c r="I11" s="131"/>
      <x:c r="J11" s="131"/>
      <x:c r="K11" s="2"/>
      <x:c r="L11" s="2"/>
    </x:row>
    <x:row r="12" ht="19" hidden="0" customHeight="1">
      <x:c r="A12" s="86"/>
      <x:c r="B12" s="109"/>
      <x:c r="C12" s="86"/>
      <x:c r="D12" s="86"/>
      <x:c r="E12" s="86"/>
      <x:c r="F12" s="86"/>
      <x:c r="G12" s="241"/>
      <x:c r="H12" s="241"/>
      <x:c r="I12" s="241"/>
      <x:c r="J12" s="241"/>
      <x:c r="K12" s="2"/>
      <x:c r="L12" s="2"/>
    </x:row>
    <x:row r="13" ht="19" hidden="0" customHeight="1">
      <x:c r="A13" s="86"/>
      <x:c r="B13" s="109"/>
      <x:c r="C13" s="86"/>
      <x:c r="D13" s="86"/>
      <x:c r="E13" s="86"/>
      <x:c r="F13" s="86"/>
      <x:c r="G13" s="241"/>
      <x:c r="H13" s="241"/>
      <x:c r="I13" s="241"/>
      <x:c r="J13" s="241"/>
      <x:c r="K13" s="2"/>
      <x:c r="L13" s="2"/>
    </x:row>
    <x:row r="14" ht="19" hidden="0" customHeight="1">
      <x:c r="A14" s="86"/>
      <x:c r="B14" s="247" t="str">
        <x:v>Peer reference assumptions as of September 4, 2026; source reference: https://stockanalysis.com. The valuation uses the selected multiples below. Enterprise value and EBITDA should use consistent lease treatment.</x:v>
      </x:c>
      <x:c r="C14" s="105"/>
      <x:c r="D14" s="105"/>
      <x:c r="E14" s="105"/>
      <x:c r="F14" s="105"/>
      <x:c r="G14" s="248"/>
      <x:c r="H14" s="248"/>
      <x:c r="I14" s="248"/>
      <x:c r="J14" s="248"/>
      <x:c r="K14" s="2"/>
      <x:c r="L14" s="2"/>
    </x:row>
    <x:row r="15" ht="19" hidden="0" customHeight="1">
      <x:c r="A15" s="86"/>
      <x:c r="B15" s="247"/>
      <x:c r="C15" s="105"/>
      <x:c r="D15" s="105"/>
      <x:c r="E15" s="105"/>
      <x:c r="F15" s="105"/>
      <x:c r="G15" s="248"/>
      <x:c r="H15" s="248"/>
      <x:c r="I15" s="248"/>
      <x:c r="J15" s="248"/>
      <x:c r="K15" s="2"/>
      <x:c r="L15" s="2"/>
    </x:row>
    <x:row r="16" ht="19" hidden="0" customHeight="1">
      <x:c r="A16" s="86"/>
      <x:c r="B16" s="247"/>
      <x:c r="C16" s="105"/>
      <x:c r="D16" s="105"/>
      <x:c r="E16" s="105"/>
      <x:c r="F16" s="105"/>
      <x:c r="G16" s="248"/>
      <x:c r="H16" s="248"/>
      <x:c r="I16" s="248"/>
      <x:c r="J16" s="248"/>
      <x:c r="K16" s="2"/>
      <x:c r="L16" s="2"/>
    </x:row>
    <x:row r="17" ht="19" hidden="0" customHeight="1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  <x:c r="K17" s="2"/>
      <x:c r="L17" s="2"/>
    </x:row>
    <x:row r="18" ht="24" hidden="0" customHeight="1">
      <x:c r="A18" s="86"/>
      <x:c r="B18" s="103" t="str">
        <x:v>Illustrative valuation — funded-debt EV, after-rent economics</x:v>
      </x:c>
      <x:c r="C18" s="103"/>
      <x:c r="D18" s="252"/>
      <x:c r="E18" s="253"/>
      <x:c r="F18" s="253"/>
      <x:c r="G18" s="254"/>
      <x:c r="H18" s="254"/>
      <x:c r="I18" s="254"/>
      <x:c r="J18" s="103"/>
      <x:c r="K18" s="2"/>
      <x:c r="L18" s="2"/>
    </x:row>
    <x:row r="19" ht="19" hidden="0" customHeight="1">
      <x:c r="A19" s="86"/>
      <x:c r="B19" s="86"/>
      <x:c r="C19" s="86" t="str">
        <x:v>Low</x:v>
      </x:c>
      <x:c r="D19" s="86" t="str">
        <x:v>High</x:v>
      </x:c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109"/>
      <x:c r="B20" s="109" t="str">
        <x:v>Selected EV / EBITDA assumption</x:v>
      </x:c>
      <x:c r="C20" s="255" t="n">
        <x:f>'Assumptions'!$C$35</x:f>
        <x:v>6.5</x:v>
      </x:c>
      <x:c r="D20" s="255" t="n">
        <x:f>'Assumptions'!$C$36</x:f>
        <x:v>8.5</x:v>
      </x:c>
      <x:c r="E20" s="109"/>
      <x:c r="F20" s="109"/>
      <x:c r="G20" s="109"/>
      <x:c r="H20" s="109"/>
      <x:c r="I20" s="109"/>
      <x:c r="J20" s="109"/>
      <x:c r="K20" s="2"/>
      <x:c r="L20" s="2"/>
    </x:row>
    <x:row r="21" ht="19" hidden="0" customHeight="1">
      <x:c r="A21" s="86"/>
      <x:c r="B21" s="109" t="str">
        <x:v>Forward normalized annual EBITDA</x:v>
      </x:c>
      <x:c r="C21" s="196" t="n">
        <x:f>'Operating Forecast'!C92</x:f>
        <x:v>1664.7140249999998</x:v>
      </x:c>
      <x:c r="D21" s="104" t="n">
        <x:f>'Operating Forecast'!C92</x:f>
        <x:v>1664.7140249999998</x:v>
      </x:c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109" t="str">
        <x:v>Enterprise value</x:v>
      </x:c>
      <x:c r="C22" s="142" t="n">
        <x:f>C20*C21</x:f>
        <x:v>10820.641162499998</x:v>
      </x:c>
      <x:c r="D22" s="96" t="n">
        <x:f>D20*D21</x:f>
        <x:v>14150.069212499999</x:v>
      </x:c>
      <x:c r="E22" s="86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Add excess cash</x:v>
      </x:c>
      <x:c r="C23" s="196" t="n">
        <x:f>'Verified Inputs'!$C$60</x:f>
        <x:v>1985</x:v>
      </x:c>
      <x:c r="D23" s="104" t="n">
        <x:f>'Verified Inputs'!$C$60</x:f>
        <x:v>1985</x:v>
      </x:c>
      <x:c r="E23" s="86"/>
      <x:c r="F23" s="86"/>
      <x:c r="G23" s="86"/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Less funded debt</x:v>
      </x:c>
      <x:c r="C24" s="196" t="n">
        <x:f>-'Verified Inputs'!$C$61</x:f>
        <x:v>-1493</x:v>
      </x:c>
      <x:c r="D24" s="104" t="n">
        <x:f>-'Verified Inputs'!$C$61</x:f>
        <x:v>-1493</x:v>
      </x:c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Add separately valued investments</x:v>
      </x:c>
      <x:c r="C25" s="196" t="n">
        <x:f aca="0">'Verified Inputs'!$C$15</x:f>
        <x:v>0</x:v>
      </x:c>
      <x:c r="D25" s="104" t="n">
        <x:f>'Verified Inputs'!$C$15</x:f>
        <x:v>0</x:v>
      </x:c>
      <x:c r="E25" s="86"/>
      <x:c r="F25" s="86"/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Equity value</x:v>
      </x:c>
      <x:c r="C26" s="142" t="n">
        <x:f aca="0">SUM(C22:C25)</x:f>
        <x:v>11312.641162499998</x:v>
      </x:c>
      <x:c r="D26" s="96" t="n">
        <x:f>SUM(D22:D25)</x:f>
        <x:v>14642.069212499999</x:v>
      </x:c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Value per diluted share</x:v>
      </x:c>
      <x:c r="C27" s="256" t="n">
        <x:f>IF('Verified Inputs'!$C$8&gt;0,C26/'Verified Inputs'!$C$8,0)</x:f>
        <x:v>31.250389951657453</x:v>
      </x:c>
      <x:c r="D27" s="259" t="n">
        <x:f>IF('Verified Inputs'!$C$8&gt;0,D26/'Verified Inputs'!$C$8,0)</x:f>
        <x:v>40.44770500690608</x:v>
      </x:c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112"/>
      <x:c r="D29" s="112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109" t="str">
        <x:v>Selected EV / sales assumption</x:v>
      </x:c>
      <x:c r="C30" s="258" t="n">
        <x:f aca="0">'Assumptions'!$C$37</x:f>
        <x:v>0.4</x:v>
      </x:c>
      <x:c r="D30" s="258" t="n">
        <x:f aca="0">'Assumptions'!$C$38</x:f>
        <x:v>0.7</x:v>
      </x:c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LTM revenue</x:v>
      </x:c>
      <x:c r="C31" s="196" t="n">
        <x:f aca="0">'Verified Inputs'!$C$64</x:f>
        <x:v>15326</x:v>
      </x:c>
      <x:c r="D31" s="196" t="n">
        <x:f aca="0">'Verified Inputs'!$C$64</x:f>
        <x:v>15326</x:v>
      </x:c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 t="str">
        <x:v>Enterprise value</x:v>
      </x:c>
      <x:c r="C32" s="142" t="n">
        <x:f aca="0">C30*C31</x:f>
        <x:v>6130.400000000001</x:v>
      </x:c>
      <x:c r="D32" s="142" t="n">
        <x:f aca="0">D30*D31</x:f>
        <x:v>10728.199999999999</x:v>
      </x:c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 t="str">
        <x:v>Equity value</x:v>
      </x:c>
      <x:c r="C33" s="196" t="n">
        <x:f aca="0">C32+'Verified Inputs'!$C$60-'Verified Inputs'!$C$61+'Verified Inputs'!$C$15</x:f>
        <x:v>6622.400000000001</x:v>
      </x:c>
      <x:c r="D33" s="196" t="n">
        <x:f aca="0">D32+'Verified Inputs'!$C$60-'Verified Inputs'!$C$61+'Verified Inputs'!$C$15</x:f>
        <x:v>11220.199999999999</x:v>
      </x:c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109" t="str">
        <x:v>Value per diluted share</x:v>
      </x:c>
      <x:c r="C34" s="237" t="n">
        <x:f aca="0">IF('Verified Inputs'!$C$8&gt;0,C33/'Verified Inputs'!$C$8,0)</x:f>
        <x:v>18.293922651933702</x:v>
      </x:c>
      <x:c r="D34" s="237" t="n">
        <x:f aca="0">IF('Verified Inputs'!$C$8&gt;0,D33/'Verified Inputs'!$C$8,0)</x:f>
        <x:v>30.99502762430939</x:v>
      </x:c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9"/>
      <x:c r="C35" s="180"/>
      <x:c r="D35" s="180"/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132"/>
      <x:c r="C37" s="132"/>
      <x:c r="D37" s="132"/>
      <x:c r="E37" s="132"/>
      <x:c r="F37" s="132"/>
      <x:c r="G37" s="132"/>
      <x:c r="H37" s="132"/>
      <x:c r="I37" s="132"/>
      <x:c r="J37" s="132"/>
      <x:c r="K37" s="2"/>
      <x:c r="L37" s="2"/>
    </x:row>
    <x:row r="38" ht="19" hidden="0" customHeight="1">
      <x:c r="A38" s="86"/>
      <x:c r="B38" s="132" t="str">
        <x:v>Apparel retailers differ in brand durability, markdown exposure, lease burden and inventory risk. Ralph Lauren is a premium-brand reference, not a direct operating twin. A low stock multiple does not prove the underlying cash earnings are reproducible.</x:v>
      </x:c>
      <x:c r="C38" s="132"/>
      <x:c r="D38" s="132"/>
      <x:c r="E38" s="132"/>
      <x:c r="F38" s="132"/>
      <x:c r="G38" s="132"/>
      <x:c r="H38" s="132"/>
      <x:c r="I38" s="132"/>
      <x:c r="J38" s="132"/>
      <x:c r="K38" s="2"/>
      <x:c r="L38" s="2"/>
    </x:row>
    <x:row r="39" ht="19" hidden="0" customHeight="1">
      <x:c r="A39" s="86"/>
      <x:c r="B39" s="132"/>
      <x:c r="C39" s="132"/>
      <x:c r="D39" s="132"/>
      <x:c r="E39" s="132"/>
      <x:c r="F39" s="132"/>
      <x:c r="G39" s="132"/>
      <x:c r="H39" s="132"/>
      <x:c r="I39" s="132"/>
      <x:c r="J39" s="132"/>
      <x:c r="K39" s="2"/>
      <x:c r="L39" s="2"/>
    </x:row>
    <x:row r="40" ht="19" hidden="0" customHeight="1">
      <x:c r="A40" s="86"/>
      <x:c r="B40" s="105"/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</x:row>
    <x:row r="41" ht="19" hidden="0" customHeight="1">
      <x:c r="A41" s="86"/>
      <x:c r="B41" s="105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</x:row>
    <x:row r="42" ht="19" hidden="0" customHeight="1">
      <x:c r="A42" s="86"/>
      <x:c r="B42" s="86"/>
      <x:c r="C42" s="86"/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86"/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/>
      <x:c r="C44" s="86"/>
      <x:c r="D44" s="86"/>
      <x:c r="E44" s="86"/>
      <x:c r="F44" s="86"/>
      <x:c r="G44" s="86"/>
      <x:c r="H44" s="86"/>
      <x:c r="I44" s="86"/>
      <x:c r="J44" s="86"/>
      <x:c r="K44" s="2"/>
      <x:c r="L44" s="2"/>
    </x:row>
    <x:row r="45" ht="19" hidden="0" customHeight="1">
      <x:c r="A45" s="86"/>
      <x:c r="B45" s="86"/>
      <x:c r="C45" s="86"/>
      <x:c r="D45" s="86"/>
      <x:c r="E45" s="86"/>
      <x:c r="F45" s="86"/>
      <x:c r="G45" s="86"/>
      <x:c r="H45" s="86"/>
      <x:c r="I45" s="86"/>
      <x:c r="J45" s="86"/>
      <x:c r="K45" s="2"/>
      <x:c r="L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mergeCells>
    <x:mergeCell ref="A1:J1"/>
    <x:mergeCell ref="A2:J3"/>
    <x:mergeCell ref="B14:J16"/>
    <x:mergeCell ref="B18:J18"/>
    <x:mergeCell ref="B38:J41"/>
  </x:mergeCells>
  <x:pageMargins left="0.7" right="0.7" top="0.75" bottom="0.75" header="0.3" footer="0.3"/>
  <x:legacyDrawing xmlns:r="http://schemas.openxmlformats.org/officeDocument/2006/relationships" r:id="R5ccf33597e594d3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9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DCF | STANDALONE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Operating rent and SBC remain costs. Gordon growth is the primary lens; exit multiple is a separate cross-check.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86" t="str">
        <x:v>Cost of equity</x:v>
      </x:c>
      <x:c r="C5" s="195" t="n">
        <x:f aca="0">'Assumptions'!$C$27+'Assumptions'!$C$29*'Assumptions'!$C$28+'Assumptions'!$C$30</x:f>
        <x:v>0.14500000000000002</x:v>
      </x:c>
      <x:c r="D5" s="86"/>
      <x:c r="E5" s="86"/>
      <x:c r="F5" s="86"/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After-tax borrowing cost</x:v>
      </x:c>
      <x:c r="C6" s="195" t="n">
        <x:f aca="0">'Assumptions'!$F$22*(1-'Assumptions'!$F$14)</x:f>
        <x:v>0.0435</x:v>
      </x:c>
      <x:c r="D6" s="86"/>
      <x:c r="E6" s="86"/>
      <x:c r="F6" s="86"/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Equity capital weight</x:v>
      </x:c>
      <x:c r="C7" s="195" t="n">
        <x:f aca="0">'Verified Inputs'!$C$63/('Verified Inputs'!$C$63+'Verified Inputs'!$C$61)</x:f>
        <x:v>0.8421049848503276</x:v>
      </x:c>
      <x:c r="D7" s="86"/>
      <x:c r="E7" s="86"/>
      <x:c r="F7" s="86"/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Calculated WACC</x:v>
      </x:c>
      <x:c r="C8" s="138" t="n">
        <x:f aca="0">C7*C5+(1-C7)*C6</x:f>
        <x:v>0.12897365596230825</x:v>
      </x:c>
      <x:c r="D8" s="86"/>
      <x:c r="E8" s="86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9" t="str">
        <x:v>Active WACC</x:v>
      </x:c>
      <x:c r="C9" s="221" t="n">
        <x:f aca="0">IF('Assumptions'!$C$33&gt;0,'Assumptions'!$C$33,C8)</x:f>
        <x:v>0.12897365596230825</x:v>
      </x:c>
      <x:c r="D9" s="86"/>
      <x:c r="E9" s="123"/>
      <x:c r="F9" s="86"/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Terminal growth</x:v>
      </x:c>
      <x:c r="C10" s="195" t="n">
        <x:f aca="0">'Assumptions'!$C$31</x:f>
        <x:v>0.02</x:v>
      </x:c>
      <x:c r="D10" s="86"/>
      <x:c r="E10" s="86"/>
      <x:c r="F10" s="86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86"/>
      <x:c r="C11" s="125"/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 t="str">
        <x:v>Fiscal period</x:v>
      </x:c>
      <x:c r="C12" s="223" t="str">
        <x:f aca="0">'Operating Forecast'!C5</x:f>
        <x:v>H2 FY2026E</x:v>
      </x:c>
      <x:c r="D12" s="228" t="str">
        <x:f>'Operating Forecast'!D5</x:f>
        <x:v>FY2027E</x:v>
      </x:c>
      <x:c r="E12" s="230" t="str">
        <x:f>'Operating Forecast'!E5</x:f>
        <x:v>FY2028E</x:v>
      </x:c>
      <x:c r="F12" s="228" t="str">
        <x:f>'Operating Forecast'!F5</x:f>
        <x:v>FY2029E</x:v>
      </x:c>
      <x:c r="G12" s="228" t="str">
        <x:f>'Operating Forecast'!G5</x:f>
        <x:v>FY2030E</x:v>
      </x:c>
      <x:c r="H12" s="86"/>
      <x:c r="I12" s="86"/>
      <x:c r="J12" s="86"/>
      <x:c r="K12" s="2"/>
      <x:c r="L12" s="2"/>
    </x:row>
    <x:row r="13" ht="19" hidden="0" customHeight="1">
      <x:c r="A13" s="86"/>
      <x:c r="B13" s="86" t="str">
        <x:v>Cash-flow year-end</x:v>
      </x:c>
      <x:c r="C13" s="224" t="n">
        <x:f aca="0">'Operating Forecast'!C6</x:f>
        <x:v>46417</x:v>
      </x:c>
      <x:c r="D13" s="229" t="n">
        <x:f>'Operating Forecast'!D6</x:f>
        <x:v>46781</x:v>
      </x:c>
      <x:c r="E13" s="232" t="n">
        <x:f>'Operating Forecast'!E6</x:f>
        <x:v>47152</x:v>
      </x:c>
      <x:c r="F13" s="229" t="n">
        <x:f>'Operating Forecast'!F6</x:f>
        <x:v>47516</x:v>
      </x:c>
      <x:c r="G13" s="229" t="n">
        <x:f>'Operating Forecast'!G6</x:f>
        <x:v>47880</x:v>
      </x:c>
      <x:c r="H13" s="86"/>
      <x:c r="I13" s="86"/>
      <x:c r="J13" s="86"/>
      <x:c r="K13" s="2"/>
      <x:c r="L13" s="2"/>
    </x:row>
    <x:row r="14" ht="19" hidden="0" customHeight="1">
      <x:c r="A14" s="86"/>
      <x:c r="B14" s="109" t="str">
        <x:v>Years from valuation to period end</x:v>
      </x:c>
      <x:c r="C14" s="226" t="n">
        <x:f aca="0">MAX(0,(C13-'Verified Inputs'!$C$5)/365)</x:f>
        <x:v>0.4054794520547945</x:v>
      </x:c>
      <x:c r="D14" s="191" t="n">
        <x:f>MAX(0,(D13-'Verified Inputs'!$C$5)/365)</x:f>
        <x:v>1.4027397260273973</x:v>
      </x:c>
      <x:c r="E14" s="191" t="n">
        <x:f>MAX(0,(E13-'Verified Inputs'!$C$5)/365)</x:f>
        <x:v>2.419178082191781</x:v>
      </x:c>
      <x:c r="F14" s="191" t="n">
        <x:f>MAX(0,(F13-'Verified Inputs'!$C$5)/365)</x:f>
        <x:v>3.4164383561643836</x:v>
      </x:c>
      <x:c r="G14" s="191" t="n">
        <x:f>MAX(0,(G13-'Verified Inputs'!$C$5)/365)</x:f>
        <x:v>4.413698630136986</x:v>
      </x:c>
      <x:c r="H14" s="86"/>
      <x:c r="I14" s="86"/>
      <x:c r="J14" s="86"/>
      <x:c r="K14" s="2"/>
      <x:c r="L14" s="2"/>
    </x:row>
    <x:row r="15" ht="19" hidden="0" customHeight="1">
      <x:c r="A15" s="86"/>
      <x:c r="B15" s="109" t="str">
        <x:v>Discount period</x:v>
      </x:c>
      <x:c r="C15" s="226" t="n">
        <x:f aca="0">C14-IF('Assumptions'!$C$34=1,(C14-0)/2,0)</x:f>
        <x:v>0.20273972602739726</x:v>
      </x:c>
      <x:c r="D15" s="191" t="n">
        <x:f>D14-IF('Assumptions'!$C$34=1,(D14-C14)/2,0)</x:f>
        <x:v>0.904109589041096</x:v>
      </x:c>
      <x:c r="E15" s="234" t="n">
        <x:f>E14-IF('Assumptions'!$C$34=1,(E14-D14)/2,0)</x:f>
        <x:v>1.9109589041095891</x:v>
      </x:c>
      <x:c r="F15" s="191" t="n">
        <x:f>F14-IF('Assumptions'!$C$34=1,(F14-E14)/2,0)</x:f>
        <x:v>2.9178082191780823</x:v>
      </x:c>
      <x:c r="G15" s="191" t="n">
        <x:f>G14-IF('Assumptions'!$C$34=1,(G14-F14)/2,0)</x:f>
        <x:v>3.915068493150685</x:v>
      </x:c>
      <x:c r="H15" s="86"/>
      <x:c r="I15" s="86"/>
      <x:c r="J15" s="86"/>
      <x:c r="K15" s="2"/>
      <x:c r="L15" s="2"/>
    </x:row>
    <x:row r="16" ht="19" hidden="0" customHeight="1">
      <x:c r="A16" s="86"/>
      <x:c r="B16" s="86" t="str">
        <x:v>Share of period cash flow after valuation</x:v>
      </x:c>
      <x:c r="C16" s="227" t="n">
        <x:f>MAX(0,MIN(1,(C13-'Verified Inputs'!$C$5)/(C13-'Verified Inputs'!$C$6)))</x:f>
        <x:v>0.8131868131868132</x:v>
      </x:c>
      <x:c r="D16" s="99" t="n">
        <x:f>1</x:f>
        <x:v>1</x:v>
      </x:c>
      <x:c r="E16" s="99" t="n">
        <x:f>1</x:f>
        <x:v>1</x:v>
      </x:c>
      <x:c r="F16" s="99" t="n">
        <x:f>1</x:f>
        <x:v>1</x:v>
      </x:c>
      <x:c r="G16" s="99" t="n">
        <x:f>1</x:f>
        <x:v>1</x:v>
      </x:c>
      <x:c r="H16" s="86"/>
      <x:c r="I16" s="86"/>
      <x:c r="J16" s="86"/>
      <x:c r="K16" s="2"/>
      <x:c r="L16" s="2"/>
    </x:row>
    <x:row r="17" ht="19" hidden="0" customHeight="1">
      <x:c r="A17" s="109"/>
      <x:c r="B17" s="109" t="str">
        <x:v>Unlevered cash flow after valuation</x:v>
      </x:c>
      <x:c r="C17" s="199" t="n">
        <x:f>'Operating Forecast'!C90*C16</x:f>
        <x:v>896.5921953983514</x:v>
      </x:c>
      <x:c r="D17" s="199" t="n">
        <x:f>'Operating Forecast'!D90*D16</x:f>
        <x:v>797.2055386875</x:v>
      </x:c>
      <x:c r="E17" s="199" t="n">
        <x:f>'Operating Forecast'!E90*E16</x:f>
        <x:v>813.1496494612496</x:v>
      </x:c>
      <x:c r="F17" s="199" t="n">
        <x:f>'Operating Forecast'!F90*F16</x:f>
        <x:v>829.412642450475</x:v>
      </x:c>
      <x:c r="G17" s="199" t="n">
        <x:f>'Operating Forecast'!G90*G16</x:f>
        <x:v>846.000895299484</x:v>
      </x:c>
      <x:c r="H17" s="109"/>
      <x:c r="I17" s="109"/>
      <x:c r="J17" s="109"/>
      <x:c r="K17" s="2"/>
      <x:c r="L17" s="2"/>
    </x:row>
    <x:row r="18" ht="19" hidden="0" customHeight="1">
      <x:c r="A18" s="86"/>
      <x:c r="B18" s="109" t="str">
        <x:v>Discount factor</x:v>
      </x:c>
      <x:c r="C18" s="225" t="n">
        <x:f>1/(1+$C$9)^C15</x:f>
        <x:v>0.975705828254398</x:v>
      </x:c>
      <x:c r="D18" s="225" t="n">
        <x:f>1/(1+$C$9)^D15</x:f>
        <x:v>0.8961239076507027</x:v>
      </x:c>
      <x:c r="E18" s="225" t="n">
        <x:f>1/(1+$C$9)^E15</x:f>
        <x:v>0.793091705763567</x:v>
      </x:c>
      <x:c r="F18" s="225" t="n">
        <x:f>1/(1+$C$9)^F15</x:f>
        <x:v>0.7019056721742303</x:v>
      </x:c>
      <x:c r="G18" s="225" t="n">
        <x:f>1/(1+$C$9)^G15</x:f>
        <x:v>0.6219268163573077</x:v>
      </x:c>
      <x:c r="H18" s="86"/>
      <x:c r="I18" s="86"/>
      <x:c r="J18" s="86"/>
      <x:c r="K18" s="2"/>
      <x:c r="L18" s="2"/>
    </x:row>
    <x:row r="19" ht="19" hidden="0" customHeight="1">
      <x:c r="A19" s="86"/>
      <x:c r="B19" s="86" t="str">
        <x:v>Present value of cash flow</x:v>
      </x:c>
      <x:c r="C19" s="142" t="n">
        <x:f>C17*C18</x:f>
        <x:v>874.8102306175774</x:v>
      </x:c>
      <x:c r="D19" s="142" t="n">
        <x:f>D17*D18</x:f>
        <x:v>714.394942529426</x:v>
      </x:c>
      <x:c r="E19" s="142" t="n">
        <x:f>E17*E18</x:f>
        <x:v>644.902242532269</x:v>
      </x:c>
      <x:c r="F19" s="142" t="n">
        <x:f>F17*F18</x:f>
        <x:v>582.1694383090052</x:v>
      </x:c>
      <x:c r="G19" s="142" t="n">
        <x:f>G17*G18</x:f>
        <x:v>526.1506434490401</x:v>
      </x:c>
      <x:c r="H19" s="86"/>
      <x:c r="I19" s="86"/>
      <x:c r="J19" s="86"/>
      <x:c r="K19" s="2"/>
      <x:c r="L19" s="2"/>
    </x:row>
    <x:row r="20" ht="19" hidden="0" customHeight="1">
      <x:c r="A20" s="86"/>
      <x:c r="B20" s="86"/>
      <x:c r="C20" s="130"/>
      <x:c r="D20" s="130"/>
      <x:c r="E20" s="130"/>
      <x:c r="F20" s="130"/>
      <x:c r="G20" s="130"/>
      <x:c r="H20" s="86"/>
      <x:c r="I20" s="86"/>
      <x:c r="J20" s="86"/>
      <x:c r="K20" s="2"/>
      <x:c r="L20" s="2"/>
    </x:row>
    <x:row r="21" ht="19" hidden="0" customHeight="1">
      <x:c r="A21" s="86"/>
      <x:c r="B21" s="86"/>
      <x:c r="C21" s="127"/>
      <x:c r="D21" s="127"/>
      <x:c r="E21" s="127"/>
      <x:c r="F21" s="127"/>
      <x:c r="G21" s="127"/>
      <x:c r="H21" s="86"/>
      <x:c r="I21" s="86"/>
      <x:c r="J21" s="86"/>
      <x:c r="K21" s="2"/>
      <x:c r="L21" s="2"/>
    </x:row>
    <x:row r="22" ht="19" hidden="0" customHeight="1">
      <x:c r="A22" s="86"/>
      <x:c r="B22" s="206" t="str">
        <x:v>PV of explicit forecast cash flows</x:v>
      </x:c>
      <x:c r="C22" s="207" t="n">
        <x:f aca="0">SUM(C19:G19)</x:f>
        <x:v>3342.427497437318</x:v>
      </x:c>
      <x:c r="D22" s="238"/>
      <x:c r="E22" s="238"/>
      <x:c r="F22" s="238"/>
      <x:c r="G22" s="238"/>
      <x:c r="H22" s="86"/>
      <x:c r="I22" s="86"/>
      <x:c r="J22" s="86"/>
      <x:c r="K22" s="2"/>
      <x:c r="L22" s="2"/>
    </x:row>
    <x:row r="23" ht="19" hidden="0" customHeight="1">
      <x:c r="A23" s="86"/>
      <x:c r="B23" s="109"/>
      <x:c r="C23" s="128"/>
      <x:c r="D23" s="128"/>
      <x:c r="E23" s="128"/>
      <x:c r="F23" s="128"/>
      <x:c r="G23" s="128"/>
      <x:c r="H23" s="86"/>
      <x:c r="I23" s="86"/>
      <x:c r="J23" s="86"/>
      <x:c r="K23" s="2"/>
      <x:c r="L23" s="2"/>
    </x:row>
    <x:row r="24" ht="19" hidden="0" customHeight="1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109"/>
      <x:c r="B25" s="109" t="str">
        <x:v>Terminal annual revenue</x:v>
      </x:c>
      <x:c r="C25" s="199" t="n">
        <x:f>'Operating Forecast'!G9*(1+C10)</x:f>
        <x:v>17177.371942245838</x:v>
      </x:c>
      <x:c r="D25" s="109"/>
      <x:c r="E25" s="109"/>
      <x:c r="F25" s="109"/>
      <x:c r="G25" s="109"/>
      <x:c r="H25" s="109"/>
      <x:c r="I25" s="109"/>
      <x:c r="J25" s="109"/>
      <x:c r="K25" s="2"/>
      <x:c r="L25" s="2"/>
    </x:row>
    <x:row r="26" ht="19" hidden="0" customHeight="1">
      <x:c r="A26" s="86"/>
      <x:c r="B26" s="109" t="str">
        <x:v>Terminal operating margin</x:v>
      </x:c>
      <x:c r="C26" s="221" t="n">
        <x:f aca="0">'Operating Forecast'!G16</x:f>
        <x:v>0.075</x:v>
      </x:c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Terminal EBIT</x:v>
      </x:c>
      <x:c r="C27" s="96" t="n">
        <x:f>C25*C26</x:f>
        <x:v>1288.3028956684377</x:v>
      </x:c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109" t="str">
        <x:v>Cash taxes on terminal EBIT</x:v>
      </x:c>
      <x:c r="C28" s="104" t="n">
        <x:f>-MAX(0,C27)*'Assumptions'!$F$14</x:f>
        <x:v>-354.2832963088204</x:v>
      </x:c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 t="str">
        <x:v>Terminal PP&amp;E depreciation</x:v>
      </x:c>
      <x:c r="C29" s="196" t="n">
        <x:f aca="0">C25*'Assumptions'!$F$15</x:f>
        <x:v>549.6759021518668</x:v>
      </x:c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 t="str">
        <x:v>Terminal capital expenditure</x:v>
      </x:c>
      <x:c r="C30" s="192" t="n">
        <x:f aca="0">-C25*'Assumptions'!$F$17</x:f>
        <x:v>-618.3853899208501</x:v>
      </x:c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Terminal change in operating NWC</x:v>
      </x:c>
      <x:c r="C31" s="196" t="n">
        <x:f aca="0">-('Verified Inputs'!$C$44-'Verified Inputs'!$C$45)*(C25-'Operating Forecast'!G9)</x:f>
        <x:v>-2.389198385160007</x:v>
      </x:c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206" t="str">
        <x:v>Terminal unlevered cash flow</x:v>
      </x:c>
      <x:c r="C32" s="207" t="n">
        <x:f aca="0">SUM(C27:C31)</x:f>
        <x:v>862.9209132054739</x:v>
      </x:c>
      <x:c r="D32" s="206"/>
      <x:c r="E32" s="206"/>
      <x:c r="F32" s="206"/>
      <x:c r="G32" s="206"/>
      <x:c r="H32" s="86"/>
      <x:c r="I32" s="86"/>
      <x:c r="J32" s="86"/>
      <x:c r="K32" s="2"/>
      <x:c r="L32" s="2"/>
    </x:row>
    <x:row r="33" ht="19" hidden="0" customHeight="1">
      <x:c r="A33" s="86"/>
      <x:c r="B33" s="109" t="str">
        <x:v>Perpetuity terminal value</x:v>
      </x:c>
      <x:c r="C33" s="145" t="n">
        <x:f aca="0">IF(C9&gt;C10,C32/(C9-C10),0)</x:f>
        <x:v>7918.619464358803</x:v>
      </x:c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86" t="str">
        <x:v>PV of perpetuity terminal value</x:v>
      </x:c>
      <x:c r="C34" s="142" t="n">
        <x:f aca="0">C33/(1+C9)^G14</x:f>
        <x:v>4635.739485077607</x:v>
      </x:c>
      <x:c r="D34" s="86"/>
      <x:c r="E34" s="123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206" t="str">
        <x:v>Perpetuity enterprise value</x:v>
      </x:c>
      <x:c r="C35" s="207" t="n">
        <x:f aca="0">C22+C34</x:f>
        <x:v>7978.166982514926</x:v>
      </x:c>
      <x:c r="D35" s="206"/>
      <x:c r="E35" s="202"/>
      <x:c r="F35" s="206"/>
      <x:c r="G35" s="206"/>
      <x:c r="H35" s="86"/>
      <x:c r="I35" s="86"/>
      <x:c r="J35" s="86"/>
      <x:c r="K35" s="2"/>
      <x:c r="L35" s="2"/>
    </x:row>
    <x:row r="36" ht="19" hidden="0" customHeight="1">
      <x:c r="A36" s="86"/>
      <x:c r="B36" s="86" t="str">
        <x:v>Terminal contribution to EV</x:v>
      </x:c>
      <x:c r="C36" s="99" t="n">
        <x:f>IF(C35&gt;0,C34/C35,0)</x:f>
        <x:v>0.5810532037292985</x:v>
      </x:c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109" t="str">
        <x:v>Implied terminal EBITDA multiple</x:v>
      </x:c>
      <x:c r="C37" s="154" t="n">
        <x:f>IF(C27+C29&gt;0,C33/(C27+C29),0)</x:f>
        <x:v>4.308330147088558</x:v>
      </x:c>
      <x:c r="D37" s="86"/>
      <x:c r="E37" s="86"/>
      <x:c r="F37" s="86"/>
      <x:c r="G37" s="86"/>
      <x:c r="H37" s="86"/>
      <x:c r="I37" s="86"/>
      <x:c r="J37" s="86"/>
      <x:c r="K37" s="2"/>
      <x:c r="L37" s="2"/>
    </x:row>
    <x:row r="38" ht="19" hidden="0" customHeight="1">
      <x:c r="A38" s="86"/>
      <x:c r="B38" s="86"/>
      <x:c r="C38" s="131"/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86"/>
      <x:c r="C39" s="127"/>
      <x:c r="D39" s="86"/>
      <x:c r="E39" s="86"/>
      <x:c r="F39" s="86"/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Exit multiple</x:v>
      </x:c>
      <x:c r="C40" s="235" t="n">
        <x:f aca="0">'Assumptions'!$C$32</x:f>
        <x:v>6.5</x:v>
      </x:c>
      <x:c r="D40" s="86"/>
      <x:c r="E40" s="86"/>
      <x:c r="F40" s="86"/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109" t="str">
        <x:v>Final-year EBITDA</x:v>
      </x:c>
      <x:c r="C41" s="192" t="n">
        <x:f aca="0">'Operating Forecast'!G20</x:f>
        <x:v>1801.9399978630436</x:v>
      </x:c>
      <x:c r="D41" s="86"/>
      <x:c r="E41" s="86"/>
      <x:c r="F41" s="86"/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86" t="str">
        <x:v>Exit terminal value</x:v>
      </x:c>
      <x:c r="C42" s="142" t="n">
        <x:f aca="0">C40*C41</x:f>
        <x:v>11712.609986109783</x:v>
      </x:c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 t="str">
        <x:v>PV of exit terminal value</x:v>
      </x:c>
      <x:c r="C43" s="142" t="n">
        <x:f aca="0">C42/(1+C9)^G14</x:f>
        <x:v>6856.8276112154335</x:v>
      </x:c>
      <x:c r="D43" s="86"/>
      <x:c r="E43" s="123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206" t="str">
        <x:v>Exit-method enterprise value</x:v>
      </x:c>
      <x:c r="C44" s="208" t="n">
        <x:f>C22+C43</x:f>
        <x:v>10199.255108652751</x:v>
      </x:c>
      <x:c r="D44" s="206"/>
      <x:c r="E44" s="206"/>
      <x:c r="F44" s="206"/>
      <x:c r="G44" s="206"/>
      <x:c r="H44" s="86"/>
      <x:c r="I44" s="86"/>
      <x:c r="J44" s="86"/>
      <x:c r="K44" s="2"/>
      <x:c r="L44" s="2"/>
    </x:row>
    <x:row r="45" ht="19" hidden="0" customHeight="1">
      <x:c r="A45" s="109"/>
      <x:c r="B45" s="109"/>
      <x:c r="C45" s="109"/>
      <x:c r="D45" s="109"/>
      <x:c r="E45" s="109"/>
      <x:c r="F45" s="109"/>
      <x:c r="G45" s="109"/>
      <x:c r="H45" s="109"/>
      <x:c r="I45" s="109"/>
      <x:c r="J45" s="109"/>
      <x:c r="K45" s="2"/>
      <x:c r="L45" s="2"/>
    </x:row>
    <x:row r="46" ht="19" hidden="0" customHeight="1">
      <x:c r="A46" s="86"/>
      <x:c r="B46" s="86"/>
      <x:c r="C46" s="112" t="str">
        <x:v>Perpetuity</x:v>
      </x:c>
      <x:c r="D46" s="112" t="str">
        <x:v>Exit cross-check</x:v>
      </x:c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09" t="str">
        <x:v>Enterprise value</x:v>
      </x:c>
      <x:c r="C47" s="145" t="n">
        <x:f aca="0">C35</x:f>
        <x:v>7978.166982514926</x:v>
      </x:c>
      <x:c r="D47" s="145" t="n">
        <x:f aca="0">C44</x:f>
        <x:v>10199.255108652751</x:v>
      </x:c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 t="str">
        <x:v>Add excess cash</x:v>
      </x:c>
      <x:c r="C48" s="196" t="n">
        <x:f aca="0">'Verified Inputs'!$C$60</x:f>
        <x:v>1985</x:v>
      </x:c>
      <x:c r="D48" s="196" t="n">
        <x:f aca="0">'Verified Inputs'!$C$60</x:f>
        <x:v>1985</x:v>
      </x:c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86" t="str">
        <x:v>Less funded debt</x:v>
      </x:c>
      <x:c r="C49" s="196" t="n">
        <x:f aca="0">-'Verified Inputs'!$C$61</x:f>
        <x:v>-1493</x:v>
      </x:c>
      <x:c r="D49" s="196" t="n">
        <x:f aca="0">-'Verified Inputs'!$C$61</x:f>
        <x:v>-1493</x:v>
      </x:c>
      <x:c r="E49" s="86"/>
      <x:c r="F49" s="86"/>
      <x:c r="G49" s="86"/>
      <x:c r="H49" s="86"/>
      <x:c r="I49" s="86"/>
      <x:c r="J49" s="86"/>
      <x:c r="K49" s="2"/>
      <x:c r="L49" s="2"/>
    </x:row>
    <x:row r="50" ht="19" hidden="0" customHeight="1">
      <x:c r="A50" s="86"/>
      <x:c r="B50" s="86" t="str">
        <x:v>Add separately valued investments</x:v>
      </x:c>
      <x:c r="C50" s="196" t="n">
        <x:f aca="0">'Verified Inputs'!$C$15</x:f>
        <x:v>0</x:v>
      </x:c>
      <x:c r="D50" s="196" t="n">
        <x:f aca="0">'Verified Inputs'!$C$15</x:f>
        <x:v>0</x:v>
      </x:c>
      <x:c r="E50" s="86"/>
      <x:c r="F50" s="86"/>
      <x:c r="G50" s="86"/>
      <x:c r="H50" s="86"/>
      <x:c r="I50" s="86"/>
      <x:c r="J50" s="86"/>
      <x:c r="K50" s="2"/>
      <x:c r="L50" s="2"/>
    </x:row>
    <x:row r="51" ht="19" hidden="0" customHeight="1">
      <x:c r="A51" s="86"/>
      <x:c r="B51" s="206" t="str">
        <x:v>Equity value</x:v>
      </x:c>
      <x:c r="C51" s="207" t="n">
        <x:f>SUM(C47:C50)</x:f>
        <x:v>8470.166982514926</x:v>
      </x:c>
      <x:c r="D51" s="207" t="n">
        <x:f>SUM(D47:D50)</x:f>
        <x:v>10691.255108652751</x:v>
      </x:c>
      <x:c r="E51" s="206"/>
      <x:c r="F51" s="206"/>
      <x:c r="G51" s="206"/>
      <x:c r="H51" s="86"/>
      <x:c r="I51" s="86"/>
      <x:c r="J51" s="86"/>
      <x:c r="K51" s="2"/>
      <x:c r="L51" s="2"/>
    </x:row>
    <x:row r="52" ht="19" hidden="0" customHeight="1">
      <x:c r="A52" s="86"/>
      <x:c r="B52" s="109" t="str">
        <x:v>Diluted-share proxy</x:v>
      </x:c>
      <x:c r="C52" s="192" t="n">
        <x:f aca="0">'Verified Inputs'!$C$8</x:f>
        <x:v>362</x:v>
      </x:c>
      <x:c r="D52" s="192" t="n">
        <x:f aca="0">'Verified Inputs'!$C$8</x:f>
        <x:v>362</x:v>
      </x:c>
      <x:c r="E52" s="86"/>
      <x:c r="F52" s="86"/>
      <x:c r="G52" s="86"/>
      <x:c r="H52" s="86"/>
      <x:c r="I52" s="86"/>
      <x:c r="J52" s="86"/>
      <x:c r="K52" s="2"/>
      <x:c r="L52" s="2"/>
    </x:row>
    <x:row r="53" ht="19" hidden="0" customHeight="1">
      <x:c r="A53" s="86"/>
      <x:c r="B53" s="206" t="str">
        <x:v>Value per share</x:v>
      </x:c>
      <x:c r="C53" s="239" t="n">
        <x:f aca="0">IF(AND($C$9&gt;$C$10,C52&gt;0),C51/C52,0)</x:f>
        <x:v>23.39825133291416</x:v>
      </x:c>
      <x:c r="D53" s="239" t="n">
        <x:f aca="0">IF(AND($C$9&gt;$C$10,D52&gt;0),D51/D52,0)</x:f>
        <x:v>29.53385389130594</x:v>
      </x:c>
      <x:c r="E53" s="206"/>
      <x:c r="F53" s="206"/>
      <x:c r="G53" s="206"/>
      <x:c r="H53" s="86"/>
      <x:c r="I53" s="86"/>
      <x:c r="J53" s="86"/>
      <x:c r="K53" s="2"/>
      <x:c r="L53" s="2"/>
    </x:row>
    <x:row r="54" ht="19" hidden="0" customHeight="1">
      <x:c r="A54" s="86"/>
      <x:c r="B54" s="109" t="str">
        <x:v>Share-price snapshot</x:v>
      </x:c>
      <x:c r="C54" s="237" t="n">
        <x:f aca="0">'Verified Inputs'!$C$7</x:f>
        <x:v>22.43</x:v>
      </x:c>
      <x:c r="D54" s="237" t="n">
        <x:f aca="0">'Verified Inputs'!$C$7</x:f>
        <x:v>22.43</x:v>
      </x:c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86" t="str">
        <x:v>Value / price less one</x:v>
      </x:c>
      <x:c r="C55" s="138" t="n">
        <x:f aca="0">IF(C54&gt;0,C53/C54-1,0)</x:f>
        <x:v>0.04316769206037274</x:v>
      </x:c>
      <x:c r="D55" s="138" t="n">
        <x:f aca="0">IF(D54&gt;0,D53/D54-1,0)</x:f>
        <x:v>0.3167121663533634</x:v>
      </x:c>
      <x:c r="E55" s="86"/>
      <x:c r="F55" s="86"/>
      <x:c r="G55" s="86"/>
      <x:c r="H55" s="86"/>
      <x:c r="I55" s="86"/>
      <x:c r="J55" s="86"/>
      <x:c r="K55" s="2"/>
      <x:c r="L55" s="2"/>
    </x:row>
    <x:row r="56" ht="19" hidden="0" customHeight="1">
      <x:c r="A56" s="86"/>
      <x:c r="B56" s="109"/>
      <x:c r="C56" s="126"/>
      <x:c r="D56" s="126"/>
      <x:c r="E56" s="86"/>
      <x:c r="F56" s="86"/>
      <x:c r="G56" s="86"/>
      <x:c r="H56" s="86"/>
      <x:c r="I56" s="86"/>
      <x:c r="J56" s="86"/>
      <x:c r="K56" s="2"/>
      <x:c r="L56" s="2"/>
    </x:row>
    <x:row r="57" ht="19" hidden="0" customHeight="1">
      <x:c r="A57" s="86"/>
      <x:c r="B57" s="86"/>
      <x:c r="C57" s="86"/>
      <x:c r="D57" s="86"/>
      <x:c r="E57" s="86"/>
      <x:c r="F57" s="86"/>
      <x:c r="G57" s="86"/>
      <x:c r="H57" s="86"/>
      <x:c r="I57" s="86"/>
      <x:c r="J57" s="86"/>
      <x:c r="K57" s="2"/>
      <x:c r="L57" s="2"/>
    </x:row>
    <x:row r="58" ht="19" hidden="0" customHeight="1">
      <x:c r="A58" s="109"/>
      <x:c r="B58" s="109" t="str">
        <x:v>Terminal net reinvestment</x:v>
      </x:c>
      <x:c r="C58" s="198" t="n">
        <x:f>-C30-C29-C31</x:f>
        <x:v>71.09868615414331</x:v>
      </x:c>
      <x:c r="D58" s="109"/>
      <x:c r="E58" s="109"/>
      <x:c r="F58" s="109"/>
      <x:c r="G58" s="109"/>
      <x:c r="H58" s="109"/>
      <x:c r="I58" s="109"/>
      <x:c r="J58" s="109"/>
      <x:c r="K58" s="2"/>
      <x:c r="L58" s="2"/>
    </x:row>
    <x:row r="59" ht="19" hidden="0" customHeight="1">
      <x:c r="A59" s="86"/>
      <x:c r="B59" s="123" t="str">
        <x:v>Terminal reinvestment / NOPAT</x:v>
      </x:c>
      <x:c r="C59" s="99" t="n">
        <x:f>IF(C27+C28&gt;0,C58/(C27+C28),0)</x:f>
        <x:v>0.07612119296307059</x:v>
      </x:c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 t="str">
        <x:v>ROIC implied by positive reinvestment</x:v>
      </x:c>
      <x:c r="C60" s="138" t="n">
        <x:f aca="0">IF(C59&gt;0,C10/C59,0)</x:f>
        <x:v>0.26273891962916024</x:v>
      </x:c>
      <x:c r="D60" s="86"/>
      <x:c r="E60" s="123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86"/>
      <x:c r="C61" s="125"/>
      <x:c r="D61" s="86"/>
      <x:c r="E61" s="123"/>
      <x:c r="F61" s="86"/>
      <x:c r="G61" s="86"/>
      <x:c r="H61" s="86"/>
      <x:c r="I61" s="86"/>
      <x:c r="J61" s="86"/>
      <x:c r="K61" s="2"/>
      <x:c r="L61" s="2"/>
    </x:row>
    <x:row r="62" ht="19" hidden="0" customHeight="1">
      <x:c r="A62" s="86"/>
      <x:c r="B62" s="123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</x:row>
    <x:row r="63" ht="19" hidden="0" customHeight="1">
      <x:c r="A63" s="86"/>
      <x:c r="B63" s="105" t="str">
        <x:v>Timing assumption: H2 cash flow is allocated evenly. The DCF values only the portion after September 4, 2026; later periods follow the selected discounting convention.</x:v>
      </x:c>
      <x:c r="C63" s="105"/>
      <x:c r="D63" s="105"/>
      <x:c r="E63" s="105"/>
      <x:c r="F63" s="105"/>
      <x:c r="G63" s="105"/>
      <x:c r="H63" s="105"/>
      <x:c r="I63" s="105"/>
      <x:c r="J63" s="105"/>
      <x:c r="K63" s="2"/>
      <x:c r="L63" s="2"/>
    </x:row>
    <x:row r="64" ht="19" hidden="0" customHeight="1">
      <x:c r="A64" s="86"/>
      <x:c r="B64" s="105"/>
      <x:c r="C64" s="105"/>
      <x:c r="D64" s="105"/>
      <x:c r="E64" s="105"/>
      <x:c r="F64" s="105"/>
      <x:c r="G64" s="105"/>
      <x:c r="H64" s="105"/>
      <x:c r="I64" s="105"/>
      <x:c r="J64" s="105"/>
      <x:c r="K64" s="2"/>
      <x:c r="L64" s="2"/>
    </x:row>
    <x:row r="65" ht="19" hidden="0" customHeight="1">
      <x:c r="A65" s="86"/>
      <x:c r="B65" s="105"/>
      <x:c r="C65" s="105"/>
      <x:c r="D65" s="105"/>
      <x:c r="E65" s="105"/>
      <x:c r="F65" s="105"/>
      <x:c r="G65" s="105"/>
      <x:c r="H65" s="105"/>
      <x:c r="I65" s="105"/>
      <x:c r="J65" s="105"/>
      <x:c r="K65" s="2"/>
      <x:c r="L65" s="2"/>
    </x:row>
    <x:row r="66" ht="19" hidden="0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  <x:c r="K66" s="2"/>
      <x:c r="L66" s="2"/>
    </x:row>
    <x:row r="67" ht="19" hidden="0" customHeight="1">
      <x:c r="A67" s="86"/>
      <x:c r="B67" s="105" t="str">
        <x:v>Terminal cash flow uses the long-term growth and reinvestment assumptions. Existing acquired intangibles are fully amortized before perpetuity. An implied ROIC of zero denotes no positive reinvestment.</x:v>
      </x:c>
      <x:c r="C67" s="105"/>
      <x:c r="D67" s="105"/>
      <x:c r="E67" s="105"/>
      <x:c r="F67" s="105"/>
      <x:c r="G67" s="105"/>
      <x:c r="H67" s="105"/>
      <x:c r="I67" s="105"/>
      <x:c r="J67" s="105"/>
      <x:c r="K67" s="2"/>
      <x:c r="L67" s="2"/>
    </x:row>
    <x:row r="68" ht="19" hidden="0" customHeight="1">
      <x:c r="A68" s="86"/>
      <x:c r="B68" s="105"/>
      <x:c r="C68" s="105"/>
      <x:c r="D68" s="105"/>
      <x:c r="E68" s="105"/>
      <x:c r="F68" s="105"/>
      <x:c r="G68" s="105"/>
      <x:c r="H68" s="105"/>
      <x:c r="I68" s="105"/>
      <x:c r="J68" s="105"/>
      <x:c r="K68" s="2"/>
      <x:c r="L68" s="2"/>
    </x:row>
    <x:row r="69" ht="19" hidden="0" customHeight="1">
      <x:c r="A69" s="86"/>
      <x:c r="B69" s="105"/>
      <x:c r="C69" s="105"/>
      <x:c r="D69" s="105"/>
      <x:c r="E69" s="105"/>
      <x:c r="F69" s="105"/>
      <x:c r="G69" s="105"/>
      <x:c r="H69" s="105"/>
      <x:c r="I69" s="105"/>
      <x:c r="J69" s="105"/>
      <x:c r="K69" s="2"/>
      <x:c r="L69" s="2"/>
    </x:row>
    <x:row r="70" ht="19" hidden="0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  <x:c r="K70" s="2"/>
      <x:c r="L70" s="2"/>
    </x:row>
    <x:row r="71" ht="19" hidden="0" customHeight="1">
      <x:c r="A71" s="86"/>
      <x:c r="B71" s="105" t="str">
        <x:v>WACC must exceed terminal growth. Cases that fail this check show zero and a FAIL status. Standalone value excludes buyer-created synergies.</x:v>
      </x:c>
      <x:c r="C71" s="105"/>
      <x:c r="D71" s="105"/>
      <x:c r="E71" s="105"/>
      <x:c r="F71" s="105"/>
      <x:c r="G71" s="105"/>
      <x:c r="H71" s="105"/>
      <x:c r="I71" s="105"/>
      <x:c r="J71" s="105"/>
      <x:c r="K71" s="2"/>
      <x:c r="L71" s="2"/>
    </x:row>
    <x:row r="72" ht="19" hidden="0" customHeight="1">
      <x:c r="A72" s="86"/>
      <x:c r="B72" s="105"/>
      <x:c r="C72" s="105"/>
      <x:c r="D72" s="105"/>
      <x:c r="E72" s="105"/>
      <x:c r="F72" s="105"/>
      <x:c r="G72" s="105"/>
      <x:c r="H72" s="105"/>
      <x:c r="I72" s="105"/>
      <x:c r="J72" s="105"/>
      <x:c r="K72" s="2"/>
      <x:c r="L72" s="2"/>
    </x:row>
    <x:row r="73" ht="19" hidden="0" customHeight="1">
      <x:c r="A73" s="86"/>
      <x:c r="B73" s="105"/>
      <x:c r="C73" s="105"/>
      <x:c r="D73" s="105"/>
      <x:c r="E73" s="105"/>
      <x:c r="F73" s="105"/>
      <x:c r="G73" s="105"/>
      <x:c r="H73" s="105"/>
      <x:c r="I73" s="105"/>
      <x:c r="J73" s="105"/>
      <x:c r="K73" s="2"/>
      <x:c r="L73" s="2"/>
    </x:row>
    <x:row r="74" ht="19" hidden="0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  <x:c r="K74" s="2"/>
      <x:c r="L74" s="2"/>
    </x:row>
    <x:row r="75" ht="19" hidden="0" customHeight="1">
      <x:c r="A75" s="86"/>
      <x:c r="B75" s="86"/>
      <x:c r="C75" s="86"/>
      <x:c r="D75" s="86"/>
      <x:c r="E75" s="86"/>
      <x:c r="F75" s="86"/>
      <x:c r="G75" s="86"/>
      <x:c r="H75" s="86"/>
      <x:c r="I75" s="86"/>
      <x:c r="J75" s="86"/>
      <x:c r="K75" s="2"/>
      <x:c r="L75" s="2"/>
    </x:row>
    <x:row r="76" ht="19" hidden="0" customHeight="1">
      <x:c r="A76" s="86"/>
      <x:c r="B76" s="86"/>
      <x:c r="C76" s="86"/>
      <x:c r="D76" s="86"/>
      <x:c r="E76" s="86"/>
      <x:c r="F76" s="86"/>
      <x:c r="G76" s="86"/>
      <x:c r="H76" s="86"/>
      <x:c r="I76" s="86"/>
      <x:c r="J76" s="86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</x:sheetData>
  <x:mergeCells>
    <x:mergeCell ref="A1:J1"/>
    <x:mergeCell ref="A2:J3"/>
    <x:mergeCell ref="B63:J65"/>
    <x:mergeCell ref="B67:J69"/>
    <x:mergeCell ref="B71:J73"/>
  </x:mergeCells>
  <x:pageMargins left="0.7" right="0.7" top="0.75" bottom="0.75" header="0.3" footer="0.3"/>
  <x:legacyDrawing xmlns:r="http://schemas.openxmlformats.org/officeDocument/2006/relationships" r:id="R00c5c10a705f42e1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20" hidden="0" customWidth="1"/>
    <x:col min="5" max="7" width="13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TRANSACTIONS | REFERENCE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Transaction references provide context and are excluded from the valuation calculations.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  <x:c r="K4" s="2"/>
      <x:c r="L4" s="2"/>
    </x:row>
    <x:row r="5" ht="19" hidden="0" customHeight="1">
      <x:c r="A5" s="86"/>
      <x:c r="B5" s="122" t="str">
        <x:v>Buyer</x:v>
      </x:c>
      <x:c r="C5" s="122" t="str">
        <x:v>Target</x:v>
      </x:c>
      <x:c r="D5" s="122" t="str">
        <x:v>Assumed value ($bn)</x:v>
      </x:c>
      <x:c r="E5" s="122" t="str">
        <x:v>Basis</x:v>
      </x:c>
      <x:c r="F5" s="112" t="str">
        <x:v>Comparison factors</x:v>
      </x:c>
      <x:c r="G5" s="112"/>
      <x:c r="H5" s="122"/>
      <x:c r="I5" s="86"/>
      <x:c r="J5" s="86"/>
      <x:c r="K5" s="2"/>
      <x:c r="L5" s="2"/>
    </x:row>
    <x:row r="6" ht="40" hidden="0" customHeight="1">
      <x:c r="A6" s="86"/>
      <x:c r="B6" s="92" t="str">
        <x:v>3G Capital</x:v>
      </x:c>
      <x:c r="C6" s="92" t="str">
        <x:v>Skechers U.S.A.</x:v>
      </x:c>
      <x:c r="D6" s="283" t="n">
        <x:v>9.4</x:v>
      </x:c>
      <x:c r="E6" s="92" t="str">
        <x:v>ASSUMPTION</x:v>
      </x:c>
      <x:c r="F6" s="284" t="str">
        <x:v>Announcement date, close status, EV vs equity, stake and contemporaneous earnings</x:v>
      </x:c>
      <x:c r="G6" s="285"/>
      <x:c r="H6" s="165"/>
      <x:c r="I6" s="92"/>
      <x:c r="J6" s="92"/>
      <x:c r="K6" s="2"/>
      <x:c r="L6" s="2"/>
    </x:row>
    <x:row r="7" ht="40" hidden="0" customHeight="1">
      <x:c r="A7" s="86"/>
      <x:c r="B7" s="92" t="str">
        <x:v>Dick's Sporting Goods</x:v>
      </x:c>
      <x:c r="C7" s="92" t="str">
        <x:v>Foot Locker</x:v>
      </x:c>
      <x:c r="D7" s="283" t="n">
        <x:v>2.4</x:v>
      </x:c>
      <x:c r="E7" s="92" t="str">
        <x:v>ASSUMPTION</x:v>
      </x:c>
      <x:c r="F7" s="284" t="str">
        <x:v>Announcement date, close status, EV vs equity, stake and contemporaneous earnings</x:v>
      </x:c>
      <x:c r="G7" s="285"/>
      <x:c r="H7" s="165"/>
      <x:c r="I7" s="92"/>
      <x:c r="J7" s="92"/>
      <x:c r="K7" s="2"/>
      <x:c r="L7" s="2"/>
    </x:row>
    <x:row r="8" ht="40" hidden="0" customHeight="1">
      <x:c r="A8" s="86"/>
      <x:c r="B8" s="92" t="str">
        <x:v>Nordstrom family / Liverpool</x:v>
      </x:c>
      <x:c r="C8" s="92" t="str">
        <x:v>Nordstrom</x:v>
      </x:c>
      <x:c r="D8" s="283" t="n">
        <x:v>6.25</x:v>
      </x:c>
      <x:c r="E8" s="92" t="str">
        <x:v>ASSUMPTION</x:v>
      </x:c>
      <x:c r="F8" s="284" t="str">
        <x:v>Announcement date, close status, EV vs equity, stake and contemporaneous earnings</x:v>
      </x:c>
      <x:c r="G8" s="285"/>
      <x:c r="H8" s="165"/>
      <x:c r="I8" s="92"/>
      <x:c r="J8" s="92"/>
      <x:c r="K8" s="2"/>
      <x:c r="L8" s="2"/>
    </x:row>
    <x:row r="9" ht="40" hidden="0" customHeight="1">
      <x:c r="A9" s="86"/>
      <x:c r="B9" s="92" t="str">
        <x:v>JD Sports</x:v>
      </x:c>
      <x:c r="C9" s="92" t="str">
        <x:v>Hibbett</x:v>
      </x:c>
      <x:c r="D9" s="283" t="n">
        <x:v>1.08</x:v>
      </x:c>
      <x:c r="E9" s="92" t="str">
        <x:v>ASSUMPTION</x:v>
      </x:c>
      <x:c r="F9" s="284" t="str">
        <x:v>Announcement date, close status, EV vs equity, stake and contemporaneous earnings</x:v>
      </x:c>
      <x:c r="G9" s="285"/>
      <x:c r="H9" s="165"/>
      <x:c r="I9" s="92"/>
      <x:c r="J9" s="92"/>
      <x:c r="K9" s="2"/>
      <x:c r="L9" s="2"/>
    </x:row>
    <x:row r="10" ht="40" hidden="0" customHeight="1">
      <x:c r="A10" s="86"/>
      <x:c r="B10" s="92" t="str">
        <x:v>Tapestry</x:v>
      </x:c>
      <x:c r="C10" s="92" t="str">
        <x:v>Capri Holdings</x:v>
      </x:c>
      <x:c r="D10" s="283" t="n">
        <x:v>8.5</x:v>
      </x:c>
      <x:c r="E10" s="92" t="str">
        <x:v>ASSUMPTION</x:v>
      </x:c>
      <x:c r="F10" s="284" t="str">
        <x:v>Announcement date, close status, EV vs equity, stake and contemporaneous earnings</x:v>
      </x:c>
      <x:c r="G10" s="285"/>
      <x:c r="H10" s="165"/>
      <x:c r="I10" s="92"/>
      <x:c r="J10" s="92"/>
      <x:c r="K10" s="2"/>
      <x:c r="L10" s="2"/>
    </x:row>
    <x:row r="11" ht="40" hidden="0" customHeight="1">
      <x:c r="A11" s="86"/>
      <x:c r="B11" s="92" t="str">
        <x:v>Kontoor Brands</x:v>
      </x:c>
      <x:c r="C11" s="92" t="str">
        <x:v>Helly Hansen</x:v>
      </x:c>
      <x:c r="D11" s="283" t="n">
        <x:v>0.9</x:v>
      </x:c>
      <x:c r="E11" s="92" t="str">
        <x:v>ASSUMPTION</x:v>
      </x:c>
      <x:c r="F11" s="284" t="str">
        <x:v>Announcement date, close status, EV vs equity, stake and contemporaneous earnings</x:v>
      </x:c>
      <x:c r="G11" s="285"/>
      <x:c r="H11" s="165"/>
      <x:c r="I11" s="92"/>
      <x:c r="J11" s="92"/>
      <x:c r="K11" s="2"/>
      <x:c r="L11" s="2"/>
    </x:row>
    <x:row r="12" ht="19" hidden="0" customHeight="1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132"/>
      <x:c r="C13" s="132"/>
      <x:c r="D13" s="132"/>
      <x:c r="E13" s="132"/>
      <x:c r="F13" s="132"/>
      <x:c r="G13" s="132"/>
      <x:c r="H13" s="132"/>
      <x:c r="I13" s="86"/>
      <x:c r="J13" s="86"/>
      <x:c r="K13" s="2"/>
      <x:c r="L13" s="2"/>
    </x:row>
    <x:row r="14" ht="19" hidden="0" customHeight="1">
      <x:c r="A14" s="86"/>
      <x:c r="B14" s="132"/>
      <x:c r="C14" s="132"/>
      <x:c r="D14" s="132"/>
      <x:c r="E14" s="132"/>
      <x:c r="F14" s="132"/>
      <x:c r="G14" s="132"/>
      <x:c r="H14" s="132"/>
      <x:c r="I14" s="86"/>
      <x:c r="J14" s="86"/>
      <x:c r="K14" s="2"/>
      <x:c r="L14" s="2"/>
    </x:row>
    <x:row r="15" ht="19" hidden="0" customHeight="1">
      <x:c r="A15" s="86"/>
      <x:c r="B15" s="132" t="str">
        <x:v>Transaction values are reference assumptions. Compare enterprise value, equity value, ownership stake, announcement date and earnings period on a consistent basis. Proposed and terminated transactions are separate from completed deals.</x:v>
      </x:c>
      <x:c r="C15" s="132"/>
      <x:c r="D15" s="132"/>
      <x:c r="E15" s="132"/>
      <x:c r="F15" s="132"/>
      <x:c r="G15" s="132"/>
      <x:c r="H15" s="132"/>
      <x:c r="I15" s="105"/>
      <x:c r="J15" s="105"/>
      <x:c r="K15" s="2"/>
      <x:c r="L15" s="2"/>
    </x:row>
    <x:row r="16" ht="19" hidden="0" customHeight="1">
      <x:c r="A16" s="86"/>
      <x:c r="B16" s="132"/>
      <x:c r="C16" s="132"/>
      <x:c r="D16" s="132"/>
      <x:c r="E16" s="132"/>
      <x:c r="F16" s="132"/>
      <x:c r="G16" s="132"/>
      <x:c r="H16" s="132"/>
      <x:c r="I16" s="105"/>
      <x:c r="J16" s="105"/>
      <x:c r="K16" s="2"/>
      <x:c r="L16" s="2"/>
    </x:row>
    <x:row r="17" ht="19" hidden="0" customHeight="1">
      <x:c r="A17" s="109"/>
      <x:c r="B17" s="247"/>
      <x:c r="C17" s="247"/>
      <x:c r="D17" s="247"/>
      <x:c r="E17" s="247"/>
      <x:c r="F17" s="247"/>
      <x:c r="G17" s="247"/>
      <x:c r="H17" s="247"/>
      <x:c r="I17" s="105"/>
      <x:c r="J17" s="105"/>
      <x:c r="K17" s="2"/>
      <x:c r="L17" s="2"/>
    </x:row>
    <x:row r="18" ht="19" hidden="0" customHeight="1">
      <x:c r="A18" s="86"/>
      <x:c r="B18" s="105"/>
      <x:c r="C18" s="105"/>
      <x:c r="D18" s="287"/>
      <x:c r="E18" s="105"/>
      <x:c r="F18" s="105"/>
      <x:c r="G18" s="105"/>
      <x:c r="H18" s="105"/>
      <x:c r="I18" s="105"/>
      <x:c r="J18" s="105"/>
      <x:c r="K18" s="2"/>
      <x:c r="L18" s="2"/>
    </x:row>
    <x:row r="19" ht="19" hidden="0" customHeight="1">
      <x:c r="A19" s="86"/>
      <x:c r="B19" s="86"/>
      <x:c r="C19" s="86"/>
      <x:c r="D19" s="131"/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86"/>
      <x:c r="C20" s="86"/>
      <x:c r="D20" s="127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05" t="str"/>
      <x:c r="C21" s="105"/>
      <x:c r="D21" s="290"/>
      <x:c r="E21" s="105"/>
      <x:c r="F21" s="105"/>
      <x:c r="G21" s="105"/>
      <x:c r="H21" s="105"/>
      <x:c r="I21" s="105"/>
      <x:c r="J21" s="105"/>
      <x:c r="K21" s="2"/>
      <x:c r="L21" s="2"/>
    </x:row>
    <x:row r="22" ht="19" hidden="0" customHeight="1">
      <x:c r="A22" s="86"/>
      <x:c r="B22" s="247"/>
      <x:c r="C22" s="105"/>
      <x:c r="D22" s="291"/>
      <x:c r="E22" s="105"/>
      <x:c r="F22" s="105"/>
      <x:c r="G22" s="105"/>
      <x:c r="H22" s="105"/>
      <x:c r="I22" s="105"/>
      <x:c r="J22" s="105"/>
      <x:c r="K22" s="2"/>
      <x:c r="L22" s="2"/>
    </x:row>
    <x:row r="23" ht="19" hidden="0" customHeight="1">
      <x:c r="A23" s="86"/>
      <x:c r="B23" s="247"/>
      <x:c r="C23" s="105"/>
      <x:c r="D23" s="291"/>
      <x:c r="E23" s="105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23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F6:J6"/>
    <x:mergeCell ref="F7:J7"/>
    <x:mergeCell ref="F8:J8"/>
    <x:mergeCell ref="F9:J9"/>
    <x:mergeCell ref="F10:J10"/>
    <x:mergeCell ref="F11:J11"/>
    <x:mergeCell ref="B15:J18"/>
    <x:mergeCell ref="B21:J2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SUM OF THE PARTS | METHODOLOGY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Separate business values, shared costs and one consolidated cash-and-debt bridge.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86"/>
      <x:c r="B4" s="295"/>
      <x:c r="C4" s="295"/>
      <x:c r="D4" s="295"/>
      <x:c r="E4" s="295"/>
      <x:c r="F4" s="295"/>
      <x:c r="G4" s="295"/>
      <x:c r="H4" s="295"/>
      <x:c r="I4" s="86"/>
      <x:c r="J4" s="86"/>
      <x:c r="K4" s="2"/>
      <x:c r="L4" s="2"/>
    </x:row>
    <x:row r="5" ht="19" hidden="0" customHeight="1">
      <x:c r="A5" s="86"/>
      <x:c r="B5" s="295" t="str">
        <x:v>Gap reports sales by brand. A brand-by-brand valuation also requires assumptions for standalone margins and shared costs.</x:v>
      </x:c>
      <x:c r="C5" s="295"/>
      <x:c r="D5" s="295"/>
      <x:c r="E5" s="295"/>
      <x:c r="F5" s="295"/>
      <x:c r="G5" s="295"/>
      <x:c r="H5" s="295"/>
      <x:c r="I5" s="105"/>
      <x:c r="J5" s="105"/>
      <x:c r="K5" s="2"/>
      <x:c r="L5" s="2"/>
    </x:row>
    <x:row r="6" ht="19" hidden="0" customHeight="1">
      <x:c r="A6" s="86"/>
      <x:c r="B6" s="295"/>
      <x:c r="C6" s="295"/>
      <x:c r="D6" s="295"/>
      <x:c r="E6" s="295"/>
      <x:c r="F6" s="295"/>
      <x:c r="G6" s="295"/>
      <x:c r="H6" s="295"/>
      <x:c r="I6" s="105"/>
      <x:c r="J6" s="105"/>
      <x:c r="K6" s="2"/>
      <x:c r="L6" s="2"/>
    </x:row>
    <x:row r="7" ht="19" hidden="0" customHeight="1">
      <x:c r="A7" s="86"/>
      <x:c r="B7" s="295"/>
      <x:c r="C7" s="295"/>
      <x:c r="D7" s="295"/>
      <x:c r="E7" s="295"/>
      <x:c r="F7" s="295"/>
      <x:c r="G7" s="295"/>
      <x:c r="H7" s="295"/>
      <x:c r="I7" s="105"/>
      <x:c r="J7" s="105"/>
      <x:c r="K7" s="2"/>
      <x:c r="L7" s="2"/>
    </x:row>
    <x:row r="8" ht="19" hidden="0" customHeight="1">
      <x:c r="A8" s="86"/>
      <x:c r="B8" s="105"/>
      <x:c r="C8" s="105"/>
      <x:c r="D8" s="105"/>
      <x:c r="E8" s="105"/>
      <x:c r="F8" s="105"/>
      <x:c r="G8" s="105"/>
      <x:c r="H8" s="105"/>
      <x:c r="I8" s="105"/>
      <x:c r="J8" s="105"/>
      <x:c r="K8" s="2"/>
      <x:c r="L8" s="2"/>
    </x:row>
    <x:row r="9" ht="19" hidden="0" customHeight="1">
      <x:c r="A9" s="109"/>
      <x:c r="B9" s="109"/>
      <x:c r="C9" s="109"/>
      <x:c r="D9" s="109"/>
      <x:c r="E9" s="109"/>
      <x:c r="F9" s="109"/>
      <x:c r="G9" s="109"/>
      <x:c r="H9" s="109"/>
      <x:c r="I9" s="86"/>
      <x:c r="J9" s="86"/>
      <x:c r="K9" s="2"/>
      <x:c r="L9" s="2"/>
    </x:row>
    <x:row r="10" ht="19" hidden="0" customHeight="1">
      <x:c r="A10" s="86"/>
      <x:c r="B10" s="122"/>
      <x:c r="C10" s="112"/>
      <x:c r="D10" s="112"/>
      <x:c r="E10" s="112"/>
      <x:c r="F10" s="112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105" t="str">
        <x:v>This model uses consolidated valuation. SOTP is excluded from the summary; a separate analysis would require business-unit earnings, central costs and separation assumptions.</x:v>
      </x:c>
      <x:c r="C11" s="290"/>
      <x:c r="D11" s="297"/>
      <x:c r="E11" s="298"/>
      <x:c r="F11" s="298"/>
      <x:c r="G11" s="105"/>
      <x:c r="H11" s="105"/>
      <x:c r="I11" s="105"/>
      <x:c r="J11" s="105"/>
      <x:c r="K11" s="2"/>
      <x:c r="L11" s="2"/>
    </x:row>
    <x:row r="12" ht="19" hidden="0" customHeight="1">
      <x:c r="A12" s="86"/>
      <x:c r="B12" s="105"/>
      <x:c r="C12" s="290"/>
      <x:c r="D12" s="297"/>
      <x:c r="E12" s="298"/>
      <x:c r="F12" s="298"/>
      <x:c r="G12" s="105"/>
      <x:c r="H12" s="105"/>
      <x:c r="I12" s="105"/>
      <x:c r="J12" s="105"/>
      <x:c r="K12" s="2"/>
      <x:c r="L12" s="2"/>
    </x:row>
    <x:row r="13" ht="19" hidden="0" customHeight="1">
      <x:c r="A13" s="86"/>
      <x:c r="B13" s="105"/>
      <x:c r="C13" s="290"/>
      <x:c r="D13" s="297"/>
      <x:c r="E13" s="298"/>
      <x:c r="F13" s="298"/>
      <x:c r="G13" s="105"/>
      <x:c r="H13" s="105"/>
      <x:c r="I13" s="105"/>
      <x:c r="J13" s="105"/>
      <x:c r="K13" s="2"/>
      <x:c r="L13" s="2"/>
    </x:row>
    <x:row r="14" ht="19" hidden="0" customHeight="1">
      <x:c r="A14" s="86"/>
      <x:c r="B14" s="86"/>
      <x:c r="C14" s="127"/>
      <x:c r="D14" s="125"/>
      <x:c r="E14" s="186"/>
      <x:c r="F14" s="186"/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/>
      <x:c r="C15" s="127"/>
      <x:c r="D15" s="186"/>
      <x:c r="E15" s="186"/>
      <x:c r="F15" s="186"/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86"/>
      <x:c r="C16" s="86"/>
      <x:c r="D16" s="86"/>
      <x:c r="E16" s="86"/>
      <x:c r="F16" s="86"/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132"/>
      <x:c r="C17" s="132"/>
      <x:c r="D17" s="132"/>
      <x:c r="E17" s="132"/>
      <x:c r="F17" s="132"/>
      <x:c r="G17" s="132"/>
      <x:c r="H17" s="132"/>
      <x:c r="I17" s="86"/>
      <x:c r="J17" s="86"/>
      <x:c r="K17" s="2"/>
      <x:c r="L17" s="2"/>
    </x:row>
    <x:row r="18" ht="19" hidden="0" customHeight="1">
      <x:c r="A18" s="86"/>
      <x:c r="B18" s="132"/>
      <x:c r="C18" s="132"/>
      <x:c r="D18" s="132"/>
      <x:c r="E18" s="132"/>
      <x:c r="F18" s="132"/>
      <x:c r="G18" s="132"/>
      <x:c r="H18" s="132"/>
      <x:c r="I18" s="86"/>
      <x:c r="J18" s="86"/>
      <x:c r="K18" s="2"/>
      <x:c r="L18" s="2"/>
    </x:row>
    <x:row r="19" ht="19" hidden="0" customHeight="1">
      <x:c r="A19" s="86"/>
      <x:c r="B19" s="132"/>
      <x:c r="C19" s="132"/>
      <x:c r="D19" s="132"/>
      <x:c r="E19" s="132"/>
      <x:c r="F19" s="132"/>
      <x:c r="G19" s="132"/>
      <x:c r="H19" s="132"/>
      <x:c r="I19" s="86"/>
      <x:c r="J19" s="86"/>
      <x:c r="K19" s="2"/>
      <x:c r="L19" s="2"/>
    </x:row>
    <x:row r="20" ht="19" hidden="0" customHeight="1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15" hidden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15" hidden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15" hidden="0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15" hidden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</x:sheetData>
  <x:mergeCells>
    <x:mergeCell ref="A1:J1"/>
    <x:mergeCell ref="A2:J3"/>
    <x:mergeCell ref="B5:J8"/>
    <x:mergeCell ref="B11:J1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BUYER RETURNS | PRICE CEILING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Acquisition financing and returns under the selected assumptions.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86" t="str">
        <x:v>Premium over share-price snapshot</x:v>
      </x:c>
      <x:c r="C5" s="195" t="n">
        <x:f>'Assumptions'!$C$39</x:f>
        <x:v>0.25</x:v>
      </x:c>
      <x:c r="D5" s="86"/>
      <x:c r="E5" s="123"/>
      <x:c r="F5" s="86"/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Offer price per diluted share</x:v>
      </x:c>
      <x:c r="C6" s="256" t="n">
        <x:f aca="0">'Verified Inputs'!$C$7*(1+C5)</x:f>
        <x:v>28.0375</x:v>
      </x:c>
      <x:c r="D6" s="86"/>
      <x:c r="E6" s="123"/>
      <x:c r="F6" s="86"/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Equity consideration</x:v>
      </x:c>
      <x:c r="C7" s="196" t="n">
        <x:f aca="0">C6*'Verified Inputs'!$C$8</x:f>
        <x:v>10149.575</x:v>
      </x:c>
      <x:c r="D7" s="86"/>
      <x:c r="E7" s="86"/>
      <x:c r="F7" s="86"/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Net debt less nonoperating value</x:v>
      </x:c>
      <x:c r="C8" s="196" t="n">
        <x:f aca="0">'Verified Inputs'!$C$62-'Verified Inputs'!$C$15</x:f>
        <x:v>-492</x:v>
      </x:c>
      <x:c r="D8" s="86"/>
      <x:c r="E8" s="123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9" t="str">
        <x:v>Entry enterprise value</x:v>
      </x:c>
      <x:c r="C9" s="145" t="n">
        <x:f aca="0">C7+C8</x:f>
        <x:v>9657.575</x:v>
      </x:c>
      <x:c r="D9" s="86"/>
      <x:c r="E9" s="86"/>
      <x:c r="F9" s="86"/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Annual normalized entry EBITDA</x:v>
      </x:c>
      <x:c r="C10" s="196" t="n">
        <x:f aca="0">'Operating Forecast'!C92</x:f>
        <x:v>1664.7140249999998</x:v>
      </x:c>
      <x:c r="D10" s="86"/>
      <x:c r="E10" s="86"/>
      <x:c r="F10" s="86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109" t="str">
        <x:v>Entry EV / EBITDA</x:v>
      </x:c>
      <x:c r="C11" s="257" t="n">
        <x:f aca="0">IF(C10&gt;0,C9/C10,0)</x:f>
        <x:v>5.801341764991739</x:v>
      </x:c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109"/>
      <x:c r="B13" s="109" t="str">
        <x:v>Acquisition leverage</x:v>
      </x:c>
      <x:c r="C13" s="255" t="n">
        <x:f>'Assumptions'!$C$40</x:f>
        <x:v>3.5</x:v>
      </x:c>
      <x:c r="D13" s="109"/>
      <x:c r="E13" s="109"/>
      <x:c r="F13" s="109"/>
      <x:c r="G13" s="109"/>
      <x:c r="H13" s="109"/>
      <x:c r="I13" s="109"/>
      <x:c r="J13" s="109"/>
      <x:c r="K13" s="2"/>
      <x:c r="L13" s="2"/>
    </x:row>
    <x:row r="14" ht="19" hidden="0" customHeight="1">
      <x:c r="A14" s="86"/>
      <x:c r="B14" s="86" t="str">
        <x:v>New funded acquisition debt</x:v>
      </x:c>
      <x:c r="C14" s="142" t="n">
        <x:f>MAX(0,C13*C10)</x:f>
        <x:v>5826.499087499999</x:v>
      </x:c>
      <x:c r="D14" s="86"/>
      <x:c r="E14" s="123"/>
      <x:c r="F14" s="86"/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 t="str">
        <x:v>Fees / EV</x:v>
      </x:c>
      <x:c r="C15" s="195" t="n">
        <x:f aca="0">'Assumptions'!$C$41</x:f>
        <x:v>0.02</x:v>
      </x:c>
      <x:c r="D15" s="86"/>
      <x:c r="E15" s="86"/>
      <x:c r="F15" s="86"/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86" t="str">
        <x:v>Transaction fees</x:v>
      </x:c>
      <x:c r="C16" s="142" t="n">
        <x:f>MAX(0,C9)*C15</x:f>
        <x:v>193.15150000000003</x:v>
      </x:c>
      <x:c r="D16" s="86"/>
      <x:c r="E16" s="123"/>
      <x:c r="F16" s="86"/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86" t="str">
        <x:v>Sponsor equity required</x:v>
      </x:c>
      <x:c r="C17" s="142" t="n">
        <x:f aca="0">C9+C16-C14</x:f>
        <x:v>4024.2274125000013</x:v>
      </x:c>
      <x:c r="D17" s="86"/>
      <x:c r="E17" s="86"/>
      <x:c r="F17" s="86"/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109"/>
      <x:c r="C18" s="128"/>
      <x:c r="D18" s="86"/>
      <x:c r="E18" s="123"/>
      <x:c r="F18" s="86"/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86"/>
      <x:c r="C19" s="131"/>
      <x:c r="D19" s="86"/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86" t="str">
        <x:v>Cash-flow period</x:v>
      </x:c>
      <x:c r="C20" s="228" t="str">
        <x:f>'Operating Forecast'!C5</x:f>
        <x:v>H2 FY2026E</x:v>
      </x:c>
      <x:c r="D20" s="228" t="str">
        <x:f>'Operating Forecast'!D5</x:f>
        <x:v>FY2027E</x:v>
      </x:c>
      <x:c r="E20" s="228" t="str">
        <x:f>'Operating Forecast'!E5</x:f>
        <x:v>FY2028E</x:v>
      </x:c>
      <x:c r="F20" s="228" t="str">
        <x:f>'Operating Forecast'!F5</x:f>
        <x:v>FY2029E</x:v>
      </x:c>
      <x:c r="G20" s="228" t="str">
        <x:f>'Operating Forecast'!G5</x:f>
        <x:v>FY2030E</x:v>
      </x:c>
      <x:c r="H20" s="86"/>
      <x:c r="I20" s="86"/>
      <x:c r="J20" s="86"/>
      <x:c r="K20" s="2"/>
      <x:c r="L20" s="2"/>
    </x:row>
    <x:row r="21" ht="19" hidden="0" customHeight="1">
      <x:c r="A21" s="109"/>
      <x:c r="B21" s="109" t="str">
        <x:v>Length after valuation (years)</x:v>
      </x:c>
      <x:c r="C21" s="266" t="n">
        <x:f>'DCF'!C14</x:f>
        <x:v>0.4054794520547945</x:v>
      </x:c>
      <x:c r="D21" s="266" t="n">
        <x:f>'DCF'!D14-'DCF'!C14</x:f>
        <x:v>0.9972602739726028</x:v>
      </x:c>
      <x:c r="E21" s="266" t="n">
        <x:f>'DCF'!E14-'DCF'!D14</x:f>
        <x:v>1.0164383561643837</x:v>
      </x:c>
      <x:c r="F21" s="266" t="n">
        <x:f>'DCF'!F14-'DCF'!E14</x:f>
        <x:v>0.9972602739726026</x:v>
      </x:c>
      <x:c r="G21" s="266" t="n">
        <x:f>'DCF'!G14-'DCF'!F14</x:f>
        <x:v>0.9972602739726026</x:v>
      </x:c>
      <x:c r="H21" s="109"/>
      <x:c r="I21" s="109"/>
      <x:c r="J21" s="109"/>
      <x:c r="K21" s="2"/>
      <x:c r="L21" s="2"/>
    </x:row>
    <x:row r="22" ht="19" hidden="0" customHeight="1">
      <x:c r="A22" s="86"/>
      <x:c r="B22" s="109" t="str">
        <x:v>Unlevered cash flow</x:v>
      </x:c>
      <x:c r="C22" s="192" t="n">
        <x:f>'DCF'!C17</x:f>
        <x:v>896.5921953983514</x:v>
      </x:c>
      <x:c r="D22" s="192" t="n">
        <x:f>'DCF'!D17</x:f>
        <x:v>797.2055386875</x:v>
      </x:c>
      <x:c r="E22" s="192" t="n">
        <x:f>'DCF'!E17</x:f>
        <x:v>813.1496494612496</x:v>
      </x:c>
      <x:c r="F22" s="192" t="n">
        <x:f>'DCF'!F17</x:f>
        <x:v>829.412642450475</x:v>
      </x:c>
      <x:c r="G22" s="192" t="n">
        <x:f>'DCF'!G17</x:f>
        <x:v>846.000895299484</x:v>
      </x:c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Beginning debt</x:v>
      </x:c>
      <x:c r="C23" s="142" t="n">
        <x:f aca="0">$C$14</x:f>
        <x:v>5826.499087499999</x:v>
      </x:c>
      <x:c r="D23" s="142" t="n">
        <x:f aca="0">C28</x:f>
        <x:v>5032.676758198429</x:v>
      </x:c>
      <x:c r="E23" s="142" t="n">
        <x:f aca="0">D28</x:f>
        <x:v>4453.792873728227</x:v>
      </x:c>
      <x:c r="F23" s="142" t="n">
        <x:f aca="0">E28</x:f>
        <x:v>3837.5679812331778</x:v>
      </x:c>
      <x:c r="G23" s="142" t="n">
        <x:f aca="0">F28</x:f>
        <x:v>3174.632191974062</x:v>
      </x:c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After-tax cash interest</x:v>
      </x:c>
      <x:c r="C24" s="196" t="n">
        <x:f aca="0">-C23*'Assumptions'!$F$22*C21+MIN(C23*'Assumptions'!$F$22*C21,MAX(0,'Operating Forecast'!C15*'DCF'!C16))*'Assumptions'!$F$14</x:f>
        <x:v>-102.76986609678082</x:v>
      </x:c>
      <x:c r="D24" s="196" t="n">
        <x:f aca="0">-D23*'Assumptions'!$F$22*D21+MIN(D23*'Assumptions'!$F$22*D21,MAX(0,'Operating Forecast'!D15*'DCF'!D16))*'Assumptions'!$F$14</x:f>
        <x:v>-218.3216542172984</x:v>
      </x:c>
      <x:c r="E24" s="196" t="n">
        <x:f aca="0">-E23*'Assumptions'!$F$22*E21+MIN(E23*'Assumptions'!$F$22*E21,MAX(0,'Operating Forecast'!E15*'DCF'!E16))*'Assumptions'!$F$14</x:f>
        <x:v>-196.92475696620002</x:v>
      </x:c>
      <x:c r="F24" s="196" t="n">
        <x:f aca="0">-F23*'Assumptions'!$F$22*F21+MIN(F23*'Assumptions'!$F$22*F21,MAX(0,'Operating Forecast'!F15*'DCF'!F16))*'Assumptions'!$F$14</x:f>
        <x:v>-166.47685319135925</x:v>
      </x:c>
      <x:c r="G24" s="196" t="n">
        <x:f aca="0">-G23*'Assumptions'!$F$22*G21+MIN(G23*'Assumptions'!$F$22*G21,MAX(0,'Operating Forecast'!G15*'DCF'!G16))*'Assumptions'!$F$14</x:f>
        <x:v>-137.71815377456792</x:v>
      </x:c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Cash available after interest</x:v>
      </x:c>
      <x:c r="C25" s="142" t="n">
        <x:f aca="0">C22+C24</x:f>
        <x:v>793.8223293015706</x:v>
      </x:c>
      <x:c r="D25" s="142" t="n">
        <x:f aca="0">D22+D24</x:f>
        <x:v>578.8838844702017</x:v>
      </x:c>
      <x:c r="E25" s="142" t="n">
        <x:f aca="0">E22+E24</x:f>
        <x:v>616.2248924950496</x:v>
      </x:c>
      <x:c r="F25" s="142" t="n">
        <x:f aca="0">F22+F24</x:f>
        <x:v>662.9357892591157</x:v>
      </x:c>
      <x:c r="G25" s="142" t="n">
        <x:f aca="0">G22+G24</x:f>
        <x:v>708.2827415249161</x:v>
      </x:c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Debt repayment</x:v>
      </x:c>
      <x:c r="C26" s="142" t="n">
        <x:f aca="0">MIN(C23,MAX(0,C25))</x:f>
        <x:v>793.8223293015706</x:v>
      </x:c>
      <x:c r="D26" s="142" t="n">
        <x:f aca="0">MIN(D23,MAX(0,D25))</x:f>
        <x:v>578.8838844702017</x:v>
      </x:c>
      <x:c r="E26" s="142" t="n">
        <x:f aca="0">MIN(E23,MAX(0,E25))</x:f>
        <x:v>616.2248924950496</x:v>
      </x:c>
      <x:c r="F26" s="142" t="n">
        <x:f aca="0">MIN(F23,MAX(0,F25))</x:f>
        <x:v>662.9357892591157</x:v>
      </x:c>
      <x:c r="G26" s="142" t="n">
        <x:f aca="0">MIN(G23,MAX(0,G25))</x:f>
        <x:v>708.2827415249161</x:v>
      </x:c>
      <x:c r="H26" s="86"/>
      <x:c r="I26" s="86"/>
      <x:c r="J26" s="86"/>
      <x:c r="K26" s="2"/>
      <x:c r="L26" s="2"/>
    </x:row>
    <x:row r="27" ht="19" hidden="0" customHeight="1">
      <x:c r="A27" s="86"/>
      <x:c r="B27" s="109" t="str">
        <x:v>Funding shortfall / new draw needed</x:v>
      </x:c>
      <x:c r="C27" s="145" t="n">
        <x:f aca="0">MAX(0,-C25)</x:f>
        <x:v>0</x:v>
      </x:c>
      <x:c r="D27" s="145" t="n">
        <x:f aca="0">MAX(0,-D25)</x:f>
        <x:v>0</x:v>
      </x:c>
      <x:c r="E27" s="145" t="n">
        <x:f aca="0">MAX(0,-E25)</x:f>
        <x:v>0</x:v>
      </x:c>
      <x:c r="F27" s="145" t="n">
        <x:f aca="0">MAX(0,-F25)</x:f>
        <x:v>0</x:v>
      </x:c>
      <x:c r="G27" s="145" t="n">
        <x:f aca="0">MAX(0,-G25)</x:f>
        <x:v>0</x:v>
      </x:c>
      <x:c r="H27" s="86"/>
      <x:c r="I27" s="86"/>
      <x:c r="J27" s="86"/>
      <x:c r="K27" s="2"/>
      <x:c r="L27" s="2"/>
    </x:row>
    <x:row r="28" ht="19" hidden="0" customHeight="1">
      <x:c r="A28" s="86"/>
      <x:c r="B28" s="86" t="str">
        <x:v>Ending debt</x:v>
      </x:c>
      <x:c r="C28" s="96" t="n">
        <x:f>C23-C26+C27</x:f>
        <x:v>5032.676758198429</x:v>
      </x:c>
      <x:c r="D28" s="96" t="n">
        <x:f>D23-D26+D27</x:f>
        <x:v>4453.792873728227</x:v>
      </x:c>
      <x:c r="E28" s="96" t="n">
        <x:f>E23-E26+E27</x:f>
        <x:v>3837.5679812331778</x:v>
      </x:c>
      <x:c r="F28" s="96" t="n">
        <x:f>F23-F26+F27</x:f>
        <x:v>3174.632191974062</x:v>
      </x:c>
      <x:c r="G28" s="96" t="n">
        <x:f>G23-G26+G27</x:f>
        <x:v>2466.349450449146</x:v>
      </x:c>
      <x:c r="H28" s="86"/>
      <x:c r="I28" s="86"/>
      <x:c r="J28" s="86"/>
      <x:c r="K28" s="2"/>
      <x:c r="L28" s="2"/>
    </x:row>
    <x:row r="29" ht="19" hidden="0" customHeight="1">
      <x:c r="A29" s="109"/>
      <x:c r="B29" s="109" t="str">
        <x:v>Excess cash retained</x:v>
      </x:c>
      <x:c r="C29" s="198" t="n">
        <x:f>MAX(0,C25-C26)</x:f>
        <x:v>0</x:v>
      </x:c>
      <x:c r="D29" s="198" t="n">
        <x:f>MAX(0,D25-D26)</x:f>
        <x:v>0</x:v>
      </x:c>
      <x:c r="E29" s="198" t="n">
        <x:f>MAX(0,E25-E26)</x:f>
        <x:v>0</x:v>
      </x:c>
      <x:c r="F29" s="198" t="n">
        <x:f>MAX(0,F25-F26)</x:f>
        <x:v>0</x:v>
      </x:c>
      <x:c r="G29" s="198" t="n">
        <x:f>MAX(0,G25-G26)</x:f>
        <x:v>0</x:v>
      </x:c>
      <x:c r="H29" s="109"/>
      <x:c r="I29" s="109"/>
      <x:c r="J29" s="109"/>
      <x:c r="K29" s="2"/>
      <x:c r="L29" s="2"/>
    </x:row>
    <x:row r="30" ht="19" hidden="0" customHeight="1">
      <x:c r="A30" s="86"/>
      <x:c r="B30" s="86" t="str">
        <x:v>Cumulative excess cash</x:v>
      </x:c>
      <x:c r="C30" s="142" t="n">
        <x:f>C29</x:f>
        <x:v>0</x:v>
      </x:c>
      <x:c r="D30" s="96" t="n">
        <x:f>C30+D29</x:f>
        <x:v>0</x:v>
      </x:c>
      <x:c r="E30" s="268" t="n">
        <x:f>D30+E29</x:f>
        <x:v>0</x:v>
      </x:c>
      <x:c r="F30" s="96" t="n">
        <x:f>E30+F29</x:f>
        <x:v>0</x:v>
      </x:c>
      <x:c r="G30" s="96" t="n">
        <x:f>F30+G29</x:f>
        <x:v>0</x:v>
      </x:c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EBITDA / pretax cash interest</x:v>
      </x:c>
      <x:c r="C31" s="235" t="n">
        <x:f aca="0">IF(C23*'Assumptions'!$F$22*C21&gt;0,'Operating Forecast'!C20*'DCF'!C16/(C23*'Assumptions'!$F$22*C21),999)</x:f>
        <x:v>5.707895748541339</x:v>
      </x:c>
      <x:c r="D31" s="267" t="n">
        <x:f>IF(D23*'Assumptions'!$F$22*D21&gt;0,'Operating Forecast'!D20*'DCF'!D16/(D23*'Assumptions'!$F$22*D21),999)</x:f>
        <x:v>5.638726153394814</x:v>
      </x:c>
      <x:c r="E31" s="267" t="n">
        <x:f>IF(E23*'Assumptions'!$F$22*E21&gt;0,'Operating Forecast'!E20*'DCF'!E16/(E23*'Assumptions'!$F$22*E21),999)</x:f>
        <x:v>6.376431085974493</x:v>
      </x:c>
      <x:c r="F31" s="267" t="n">
        <x:f>IF(F23*'Assumptions'!$F$22*F21&gt;0,'Operating Forecast'!F20*'DCF'!F16/(F23*'Assumptions'!$F$22*F21),999)</x:f>
        <x:v>7.693506095309067</x:v>
      </x:c>
      <x:c r="G31" s="267" t="n">
        <x:f>IF(G23*'Assumptions'!$F$22*G21&gt;0,'Operating Forecast'!G20*'DCF'!G16/(G23*'Assumptions'!$F$22*G21),999)</x:f>
        <x:v>9.486087800662613</x:v>
      </x:c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127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127"/>
      <x:c r="D33" s="86"/>
      <x:c r="E33" s="123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109" t="str">
        <x:v>Exit EBITDA</x:v>
      </x:c>
      <x:c r="C34" s="192" t="n">
        <x:f aca="0">'Operating Forecast'!G20</x:f>
        <x:v>1801.9399978630436</x:v>
      </x:c>
      <x:c r="D34" s="86"/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9" t="str">
        <x:v>Exit multiple</x:v>
      </x:c>
      <x:c r="C35" s="258" t="n">
        <x:f aca="0">'Assumptions'!$C$32</x:f>
        <x:v>6.5</x:v>
      </x:c>
      <x:c r="D35" s="86"/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109" t="str">
        <x:v>Exit enterprise value</x:v>
      </x:c>
      <x:c r="C36" s="145" t="n">
        <x:f aca="0">C34*C35</x:f>
        <x:v>11712.609986109783</x:v>
      </x:c>
      <x:c r="D36" s="86"/>
      <x:c r="E36" s="123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86" t="str">
        <x:v>Exit debt</x:v>
      </x:c>
      <x:c r="C37" s="96" t="n">
        <x:f>G28</x:f>
        <x:v>2466.349450449146</x:v>
      </x:c>
      <x:c r="D37" s="86"/>
      <x:c r="E37" s="86"/>
      <x:c r="F37" s="86"/>
      <x:c r="G37" s="86"/>
      <x:c r="H37" s="86"/>
      <x:c r="I37" s="86"/>
      <x:c r="J37" s="86"/>
      <x:c r="K37" s="2"/>
      <x:c r="L37" s="2"/>
    </x:row>
    <x:row r="38" ht="19" hidden="0" customHeight="1">
      <x:c r="A38" s="109"/>
      <x:c r="B38" s="109" t="str">
        <x:v>Exit surplus cash</x:v>
      </x:c>
      <x:c r="C38" s="198" t="n">
        <x:f>G30</x:f>
        <x:v>0</x:v>
      </x:c>
      <x:c r="D38" s="109"/>
      <x:c r="E38" s="109"/>
      <x:c r="F38" s="109"/>
      <x:c r="G38" s="109"/>
      <x:c r="H38" s="109"/>
      <x:c r="I38" s="109"/>
      <x:c r="J38" s="109"/>
      <x:c r="K38" s="2"/>
      <x:c r="L38" s="2"/>
    </x:row>
    <x:row r="39" ht="19" hidden="0" customHeight="1">
      <x:c r="A39" s="86"/>
      <x:c r="B39" s="86" t="str">
        <x:v>Exit equity proceeds</x:v>
      </x:c>
      <x:c r="C39" s="142" t="n">
        <x:f>C36-C37+C38</x:f>
        <x:v>9246.260535660636</x:v>
      </x:c>
      <x:c r="D39" s="86"/>
      <x:c r="E39" s="123"/>
      <x:c r="F39" s="86"/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Hold length in years</x:v>
      </x:c>
      <x:c r="C40" s="269" t="n">
        <x:f aca="0">'DCF'!G14</x:f>
        <x:v>4.413698630136986</x:v>
      </x:c>
      <x:c r="D40" s="86"/>
      <x:c r="E40" s="123"/>
      <x:c r="F40" s="86"/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86" t="str">
        <x:v>Money multiple</x:v>
      </x:c>
      <x:c r="C41" s="158" t="n">
        <x:f aca="0">IF(C17&gt;0,C39/C17,0)</x:f>
        <x:v>2.2976486137289425</x:v>
      </x:c>
      <x:c r="D41" s="86"/>
      <x:c r="E41" s="123"/>
      <x:c r="F41" s="86"/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109" t="str">
        <x:v>Annualized return</x:v>
      </x:c>
      <x:c r="C42" s="141" t="n">
        <x:f aca="0">IF(AND(C17&gt;0,C39&gt;0,C40&gt;0),(C39/C17)^(1/C40)-1,0)</x:f>
        <x:v>0.2074108391040821</x:v>
      </x:c>
      <x:c r="D42" s="86"/>
      <x:c r="E42" s="123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125"/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/>
      <x:c r="C44" s="86"/>
      <x:c r="D44" s="86"/>
      <x:c r="E44" s="86"/>
      <x:c r="F44" s="86"/>
      <x:c r="G44" s="86"/>
      <x:c r="H44" s="86"/>
      <x:c r="I44" s="86"/>
      <x:c r="J44" s="86"/>
      <x:c r="K44" s="2"/>
      <x:c r="L44" s="2"/>
    </x:row>
    <x:row r="45" ht="19" hidden="0" customHeight="1">
      <x:c r="A45" s="109"/>
      <x:c r="B45" s="109" t="str">
        <x:v>Required annual return</x:v>
      </x:c>
      <x:c r="C45" s="270" t="n">
        <x:f>'Assumptions'!$C$42</x:f>
        <x:v>0.2</x:v>
      </x:c>
      <x:c r="D45" s="109"/>
      <x:c r="E45" s="109"/>
      <x:c r="F45" s="109"/>
      <x:c r="G45" s="109"/>
      <x:c r="H45" s="109"/>
      <x:c r="I45" s="109"/>
      <x:c r="J45" s="109"/>
      <x:c r="K45" s="2"/>
      <x:c r="L45" s="2"/>
    </x:row>
    <x:row r="46" ht="19" hidden="0" customHeight="1">
      <x:c r="A46" s="86"/>
      <x:c r="B46" s="86" t="str">
        <x:v>Maximum sponsor equity at hurdle</x:v>
      </x:c>
      <x:c r="C46" s="142" t="n">
        <x:f>MAX(0,C39)/(1+C45)^C40</x:f>
        <x:v>4135.08050687674</x:v>
      </x:c>
      <x:c r="D46" s="86"/>
      <x:c r="E46" s="123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23" t="str">
        <x:v>Maximum entry EV (fees solved)</x:v>
      </x:c>
      <x:c r="C47" s="96" t="n">
        <x:f>(C46+C14)/(1+C15)</x:f>
        <x:v>9766.254504290922</x:v>
      </x:c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 t="str">
        <x:v>Maximum equity purchase price</x:v>
      </x:c>
      <x:c r="C48" s="96" t="n">
        <x:f>C47-C8</x:f>
        <x:v>10258.254504290922</x:v>
      </x:c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132" t="str">
        <x:v>Maximum offer per diluted share</x:v>
      </x:c>
      <x:c r="C49" s="272" t="n">
        <x:f>IF('Verified Inputs'!$C$8&gt;0,C48/'Verified Inputs'!$C$8,0)</x:f>
        <x:v>28.337719625113046</x:v>
      </x:c>
      <x:c r="D49" s="132"/>
      <x:c r="E49" s="132"/>
      <x:c r="F49" s="132"/>
      <x:c r="G49" s="132"/>
      <x:c r="H49" s="132"/>
      <x:c r="I49" s="86"/>
      <x:c r="J49" s="86"/>
      <x:c r="K49" s="2"/>
      <x:c r="L49" s="2"/>
    </x:row>
    <x:row r="50" ht="19" hidden="0" customHeight="1">
      <x:c r="A50" s="86"/>
      <x:c r="B50" s="132"/>
      <x:c r="C50" s="132"/>
      <x:c r="D50" s="132"/>
      <x:c r="E50" s="132"/>
      <x:c r="F50" s="132"/>
      <x:c r="G50" s="132"/>
      <x:c r="H50" s="132"/>
      <x:c r="I50" s="86"/>
      <x:c r="J50" s="86"/>
      <x:c r="K50" s="2"/>
      <x:c r="L50" s="2"/>
    </x:row>
    <x:row r="51" ht="19" hidden="0" customHeight="1">
      <x:c r="A51" s="86"/>
      <x:c r="B51" s="132"/>
      <x:c r="C51" s="132"/>
      <x:c r="D51" s="132"/>
      <x:c r="E51" s="132"/>
      <x:c r="F51" s="132"/>
      <x:c r="G51" s="132"/>
      <x:c r="H51" s="132"/>
      <x:c r="I51" s="86"/>
      <x:c r="J51" s="86"/>
      <x:c r="K51" s="2"/>
      <x:c r="L51" s="2"/>
    </x:row>
    <x:row r="52" ht="19" hidden="0" customHeight="1">
      <x:c r="A52" s="86"/>
      <x:c r="B52" s="86" t="str">
        <x:v>Buyer-created synergy credited</x:v>
      </x:c>
      <x:c r="C52" s="96" t="n">
        <x:v>0</x:v>
      </x:c>
      <x:c r="D52" s="86"/>
      <x:c r="E52" s="86"/>
      <x:c r="F52" s="86"/>
      <x:c r="G52" s="86"/>
      <x:c r="H52" s="86"/>
      <x:c r="I52" s="86"/>
      <x:c r="J52" s="86"/>
      <x:c r="K52" s="2"/>
      <x:c r="L52" s="2"/>
    </x:row>
    <x:row r="53" ht="19" hidden="0" customHeight="1">
      <x:c r="A53" s="86"/>
      <x:c r="B53" s="86" t="str">
        <x:v>Lowest interest coverage</x:v>
      </x:c>
      <x:c r="C53" s="154" t="n">
        <x:f>MIN(C31:G31)</x:f>
        <x:v>5.638726153394814</x:v>
      </x:c>
      <x:c r="D53" s="86"/>
      <x:c r="E53" s="86"/>
      <x:c r="F53" s="86"/>
      <x:c r="G53" s="86"/>
      <x:c r="H53" s="86"/>
      <x:c r="I53" s="86"/>
      <x:c r="J53" s="86"/>
      <x:c r="K53" s="2"/>
      <x:c r="L53" s="2"/>
    </x:row>
    <x:row r="54" ht="19" hidden="0" customHeight="1">
      <x:c r="A54" s="86"/>
      <x:c r="B54" s="86" t="str">
        <x:v>New financing needed in forecast</x:v>
      </x:c>
      <x:c r="C54" s="96" t="n">
        <x:f>SUM(C27:G27)</x:f>
        <x:v>0</x:v>
      </x:c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86"/>
      <x:c r="C55" s="86"/>
      <x:c r="D55" s="86"/>
      <x:c r="E55" s="86"/>
      <x:c r="F55" s="86"/>
      <x:c r="G55" s="86"/>
      <x:c r="H55" s="86"/>
      <x:c r="I55" s="86"/>
      <x:c r="J55" s="86"/>
      <x:c r="K55" s="2"/>
      <x:c r="L55" s="2"/>
    </x:row>
    <x:row r="56" ht="19" hidden="0" customHeight="1">
      <x:c r="A56" s="86"/>
      <x:c r="B56" s="86"/>
      <x:c r="C56" s="86"/>
      <x:c r="D56" s="86"/>
      <x:c r="E56" s="86"/>
      <x:c r="F56" s="86"/>
      <x:c r="G56" s="86"/>
      <x:c r="H56" s="86"/>
      <x:c r="I56" s="86"/>
      <x:c r="J56" s="86"/>
      <x:c r="K56" s="2"/>
      <x:c r="L56" s="2"/>
    </x:row>
    <x:row r="57" ht="19" hidden="0" customHeight="1">
      <x:c r="A57" s="86"/>
      <x:c r="B57" s="105" t="str">
        <x:v>Financing assumptions: interest is based on beginning debt. Cash first repays debt; the remainder is retained through exit. Required new draws identify additional financing needs. Losses receive no immediate tax benefit.</x:v>
      </x:c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105"/>
      <x:c r="C58" s="105"/>
      <x:c r="D58" s="105"/>
      <x:c r="E58" s="105"/>
      <x:c r="F58" s="105"/>
      <x:c r="G58" s="105"/>
      <x:c r="H58" s="105"/>
      <x:c r="I58" s="105"/>
      <x:c r="J58" s="105"/>
      <x:c r="K58" s="2"/>
      <x:c r="L58" s="2"/>
    </x:row>
    <x:row r="59" ht="19" hidden="0" customHeight="1">
      <x:c r="A59" s="86"/>
      <x:c r="B59" s="105"/>
      <x:c r="C59" s="105"/>
      <x:c r="D59" s="105"/>
      <x:c r="E59" s="105"/>
      <x:c r="F59" s="105"/>
      <x:c r="G59" s="105"/>
      <x:c r="H59" s="105"/>
      <x:c r="I59" s="105"/>
      <x:c r="J59" s="105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105" t="str">
        <x:v>Test revenue decline and margin compression before setting a price ceiling. Buyer-created synergies are separate; any synergy case should include execution costs, timing and risk.</x:v>
      </x:c>
      <x:c r="C61" s="105"/>
      <x:c r="D61" s="105"/>
      <x:c r="E61" s="105"/>
      <x:c r="F61" s="105"/>
      <x:c r="G61" s="105"/>
      <x:c r="H61" s="105"/>
      <x:c r="I61" s="105"/>
      <x:c r="J61" s="105"/>
      <x:c r="K61" s="2"/>
      <x:c r="L61" s="2"/>
    </x:row>
    <x:row r="62" ht="19" hidden="0" customHeight="1">
      <x:c r="A62" s="86"/>
      <x:c r="B62" s="105"/>
      <x:c r="C62" s="105"/>
      <x:c r="D62" s="105"/>
      <x:c r="E62" s="105"/>
      <x:c r="F62" s="105"/>
      <x:c r="G62" s="105"/>
      <x:c r="H62" s="105"/>
      <x:c r="I62" s="105"/>
      <x:c r="J62" s="105"/>
      <x:c r="K62" s="2"/>
      <x:c r="L62" s="2"/>
    </x:row>
    <x:row r="63" ht="19" hidden="0" customHeight="1">
      <x:c r="A63" s="86"/>
      <x:c r="B63" s="105"/>
      <x:c r="C63" s="105"/>
      <x:c r="D63" s="105"/>
      <x:c r="E63" s="105"/>
      <x:c r="F63" s="105"/>
      <x:c r="G63" s="105"/>
      <x:c r="H63" s="105"/>
      <x:c r="I63" s="105"/>
      <x:c r="J63" s="105"/>
      <x:c r="K63" s="2"/>
      <x:c r="L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</x:sheetData>
  <x:mergeCells>
    <x:mergeCell ref="A1:J1"/>
    <x:mergeCell ref="A2:J3"/>
    <x:mergeCell ref="B57:J59"/>
    <x:mergeCell ref="B61:J6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SENSITIVITIES | WHAT CHANGES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Each cell recalculates value. Invalid WACC / growth combinations are labeled INVALID rather than shown as a price.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24" hidden="0" customHeight="1">
      <x:c r="A4" s="109"/>
      <x:c r="B4" s="103" t="str">
        <x:v>Value per share: WACC × terminal growth</x:v>
      </x:c>
      <x:c r="C4" s="103"/>
      <x:c r="D4" s="103"/>
      <x:c r="E4" s="103"/>
      <x:c r="F4" s="103"/>
      <x:c r="G4" s="103"/>
      <x:c r="H4" s="103"/>
      <x:c r="I4" s="103"/>
      <x:c r="J4" s="103"/>
      <x:c r="K4" s="2"/>
      <x:c r="L4" s="2"/>
    </x:row>
    <x:row r="5" ht="19" hidden="0" customHeight="1">
      <x:c r="A5" s="86"/>
      <x:c r="B5" s="112" t="str">
        <x:v>WACC / growth</x:v>
      </x:c>
      <x:c r="C5" s="277" t="n">
        <x:v>0.01</x:v>
      </x:c>
      <x:c r="D5" s="277" t="n">
        <x:v>0.015</x:v>
      </x:c>
      <x:c r="E5" s="277" t="n">
        <x:v>0.02</x:v>
      </x:c>
      <x:c r="F5" s="277" t="n">
        <x:v>0.025</x:v>
      </x:c>
      <x:c r="G5" s="277" t="n">
        <x:v>0.03</x:v>
      </x:c>
      <x:c r="H5" s="86"/>
      <x:c r="I5" s="86"/>
      <x:c r="J5" s="86"/>
      <x:c r="K5" s="2"/>
      <x:c r="L5" s="2"/>
    </x:row>
    <x:row r="6" ht="19" hidden="0" customHeight="1">
      <x:c r="A6" s="86"/>
      <x:c r="B6" s="221" t="n">
        <x:f>'DCF'!$C$9+-0.02</x:f>
        <x:v>0.10897365596230825</x:v>
      </x:c>
      <x:c r="C6" s="256" t="n">
        <x:f aca="0">IF(AND('Verified Inputs'!$C$8&gt;0,$B6&gt;C$5),('DCF'!C17/(1+$B6)^'DCF'!C15+'DCF'!D17/(1+$B6)^'DCF'!D15+'DCF'!E17/(1+$B6)^'DCF'!E15+'DCF'!F17/(1+$B6)^'DCF'!F15+'DCF'!G17/(1+$B6)^'DCF'!G15+(('Operating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Forecast'!G9*C$5)/($B6-C$5))/(1+$B6)^'DCF'!G14+'Verified Inputs'!$C$60-'Verified Inputs'!$C$61+'Verified Inputs'!$C$15)/'Verified Inputs'!$C$8,"INVALID")</x:f>
        <x:v>26.014915744909803</x:v>
      </x:c>
      <x:c r="D6" s="256" t="n">
        <x:f aca="0">IF(AND('Verified Inputs'!$C$8&gt;0,$B6&gt;D$5),('DCF'!C17/(1+$B6)^'DCF'!C15+'DCF'!D17/(1+$B6)^'DCF'!D15+'DCF'!E17/(1+$B6)^'DCF'!E15+'DCF'!F17/(1+$B6)^'DCF'!F15+'DCF'!G17/(1+$B6)^'DCF'!G15+(('Operating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Forecast'!G9*D$5)/($B6-D$5))/(1+$B6)^'DCF'!G14+'Verified Inputs'!$C$60-'Verified Inputs'!$C$61+'Verified Inputs'!$C$15)/'Verified Inputs'!$C$8,"INVALID")</x:f>
        <x:v>26.887702895420702</x:v>
      </x:c>
      <x:c r="E6" s="256" t="n">
        <x:f aca="0">IF(AND('Verified Inputs'!$C$8&gt;0,$B6&gt;E$5),('DCF'!C17/(1+$B6)^'DCF'!C15+'DCF'!D17/(1+$B6)^'DCF'!D15+'DCF'!E17/(1+$B6)^'DCF'!E15+'DCF'!F17/(1+$B6)^'DCF'!F15+'DCF'!G17/(1+$B6)^'DCF'!G15+(('Operating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Forecast'!G9*E$5)/($B6-E$5))/(1+$B6)^'DCF'!G14+'Verified Inputs'!$C$60-'Verified Inputs'!$C$61+'Verified Inputs'!$C$15)/'Verified Inputs'!$C$8,"INVALID")</x:f>
        <x:v>27.85858505406307</x:v>
      </x:c>
      <x:c r="F6" s="256" t="n">
        <x:f aca="0">IF(AND('Verified Inputs'!$C$8&gt;0,$B6&gt;F$5),('DCF'!C17/(1+$B6)^'DCF'!C15+'DCF'!D17/(1+$B6)^'DCF'!D15+'DCF'!E17/(1+$B6)^'DCF'!E15+'DCF'!F17/(1+$B6)^'DCF'!F15+'DCF'!G17/(1+$B6)^'DCF'!G15+(('Operating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Forecast'!G9*F$5)/($B6-F$5))/(1+$B6)^'DCF'!G14+'Verified Inputs'!$C$60-'Verified Inputs'!$C$61+'Verified Inputs'!$C$15)/'Verified Inputs'!$C$8,"INVALID")</x:f>
        <x:v>28.945084681960104</x:v>
      </x:c>
      <x:c r="G6" s="256" t="n">
        <x:f aca="0">IF(AND('Verified Inputs'!$C$8&gt;0,$B6&gt;G$5),('DCF'!C17/(1+$B6)^'DCF'!C15+'DCF'!D17/(1+$B6)^'DCF'!D15+'DCF'!E17/(1+$B6)^'DCF'!E15+'DCF'!F17/(1+$B6)^'DCF'!F15+'DCF'!G17/(1+$B6)^'DCF'!G15+(('Operating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Forecast'!G9*G$5)/($B6-G$5))/(1+$B6)^'DCF'!G14+'Verified Inputs'!$C$60-'Verified Inputs'!$C$61+'Verified Inputs'!$C$15)/'Verified Inputs'!$C$8,"INVALID")</x:f>
        <x:v>30.169161786125365</x:v>
      </x:c>
      <x:c r="H6" s="86"/>
      <x:c r="I6" s="86"/>
      <x:c r="J6" s="86"/>
      <x:c r="K6" s="2"/>
      <x:c r="L6" s="2"/>
    </x:row>
    <x:row r="7" ht="19" hidden="0" customHeight="1">
      <x:c r="A7" s="86"/>
      <x:c r="B7" s="221" t="n">
        <x:f>'DCF'!$C$9+-0.01</x:f>
        <x:v>0.11897365596230826</x:v>
      </x:c>
      <x:c r="C7" s="256" t="n">
        <x:f aca="0">IF(AND('Verified Inputs'!$C$8&gt;0,$B7&gt;C$5),('DCF'!C17/(1+$B7)^'DCF'!C15+'DCF'!D17/(1+$B7)^'DCF'!D15+'DCF'!E17/(1+$B7)^'DCF'!E15+'DCF'!F17/(1+$B7)^'DCF'!F15+'DCF'!G17/(1+$B7)^'DCF'!G15+(('Operating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Forecast'!G9*C$5)/($B7-C$5))/(1+$B7)^'DCF'!G14+'Verified Inputs'!$C$60-'Verified Inputs'!$C$61+'Verified Inputs'!$C$15)/'Verified Inputs'!$C$8,"INVALID")</x:f>
        <x:v>23.943294922273164</x:v>
      </x:c>
      <x:c r="D7" s="256" t="n">
        <x:f aca="0">IF(AND('Verified Inputs'!$C$8&gt;0,$B7&gt;D$5),('DCF'!C17/(1+$B7)^'DCF'!C15+'DCF'!D17/(1+$B7)^'DCF'!D15+'DCF'!E17/(1+$B7)^'DCF'!E15+'DCF'!F17/(1+$B7)^'DCF'!F15+'DCF'!G17/(1+$B7)^'DCF'!G15+(('Operating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Forecast'!G9*D$5)/($B7-D$5))/(1+$B7)^'DCF'!G14+'Verified Inputs'!$C$60-'Verified Inputs'!$C$61+'Verified Inputs'!$C$15)/'Verified Inputs'!$C$8,"INVALID")</x:f>
        <x:v>24.637328460332135</x:v>
      </x:c>
      <x:c r="E7" s="256" t="n">
        <x:f aca="0">IF(AND('Verified Inputs'!$C$8&gt;0,$B7&gt;E$5),('DCF'!C17/(1+$B7)^'DCF'!C15+'DCF'!D17/(1+$B7)^'DCF'!D15+'DCF'!E17/(1+$B7)^'DCF'!E15+'DCF'!F17/(1+$B7)^'DCF'!F15+'DCF'!G17/(1+$B7)^'DCF'!G15+(('Operating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Forecast'!G9*E$5)/($B7-E$5))/(1+$B7)^'DCF'!G14+'Verified Inputs'!$C$60-'Verified Inputs'!$C$61+'Verified Inputs'!$C$15)/'Verified Inputs'!$C$8,"INVALID")</x:f>
        <x:v>25.401485056018</x:v>
      </x:c>
      <x:c r="F7" s="256" t="n">
        <x:f aca="0">IF(AND('Verified Inputs'!$C$8&gt;0,$B7&gt;F$5),('DCF'!C17/(1+$B7)^'DCF'!C15+'DCF'!D17/(1+$B7)^'DCF'!D15+'DCF'!E17/(1+$B7)^'DCF'!E15+'DCF'!F17/(1+$B7)^'DCF'!F15+'DCF'!G17/(1+$B7)^'DCF'!G15+(('Operating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Forecast'!G9*F$5)/($B7-F$5))/(1+$B7)^'DCF'!G14+'Verified Inputs'!$C$60-'Verified Inputs'!$C$61+'Verified Inputs'!$C$15)/'Verified Inputs'!$C$8,"INVALID")</x:f>
        <x:v>26.246957695850575</x:v>
      </x:c>
      <x:c r="G7" s="256" t="n">
        <x:f aca="0">IF(AND('Verified Inputs'!$C$8&gt;0,$B7&gt;G$5),('DCF'!C17/(1+$B7)^'DCF'!C15+'DCF'!D17/(1+$B7)^'DCF'!D15+'DCF'!E17/(1+$B7)^'DCF'!E15+'DCF'!F17/(1+$B7)^'DCF'!F15+'DCF'!G17/(1+$B7)^'DCF'!G15+(('Operating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Forecast'!G9*G$5)/($B7-G$5))/(1+$B7)^'DCF'!G14+'Verified Inputs'!$C$60-'Verified Inputs'!$C$61+'Verified Inputs'!$C$15)/'Verified Inputs'!$C$8,"INVALID")</x:f>
        <x:v>27.18745538896305</x:v>
      </x:c>
      <x:c r="H7" s="86"/>
      <x:c r="I7" s="86"/>
      <x:c r="J7" s="86"/>
      <x:c r="K7" s="2"/>
      <x:c r="L7" s="2"/>
    </x:row>
    <x:row r="8" ht="19" hidden="0" customHeight="1">
      <x:c r="A8" s="86"/>
      <x:c r="B8" s="221" t="n">
        <x:f>'DCF'!$C$9+0</x:f>
        <x:v>0.12897365596230825</x:v>
      </x:c>
      <x:c r="C8" s="256" t="n">
        <x:f aca="0">IF(AND('Verified Inputs'!$C$8&gt;0,$B8&gt;C$5),('DCF'!C17/(1+$B8)^'DCF'!C15+'DCF'!D17/(1+$B8)^'DCF'!D15+'DCF'!E17/(1+$B8)^'DCF'!E15+'DCF'!F17/(1+$B8)^'DCF'!F15+'DCF'!G17/(1+$B8)^'DCF'!G15+(('Operating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Forecast'!G9*C$5)/($B8-C$5))/(1+$B8)^'DCF'!G14+'Verified Inputs'!$C$60-'Verified Inputs'!$C$61+'Verified Inputs'!$C$15)/'Verified Inputs'!$C$8,"INVALID")</x:f>
        <x:v>22.222810206231465</x:v>
      </x:c>
      <x:c r="D8" s="256" t="n">
        <x:f aca="0">IF(AND('Verified Inputs'!$C$8&gt;0,$B8&gt;D$5),('DCF'!C17/(1+$B8)^'DCF'!C15+'DCF'!D17/(1+$B8)^'DCF'!D15+'DCF'!E17/(1+$B8)^'DCF'!E15+'DCF'!F17/(1+$B8)^'DCF'!F15+'DCF'!G17/(1+$B8)^'DCF'!G15+(('Operating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Forecast'!G9*D$5)/($B8-D$5))/(1+$B8)^'DCF'!G14+'Verified Inputs'!$C$60-'Verified Inputs'!$C$61+'Verified Inputs'!$C$15)/'Verified Inputs'!$C$8,"INVALID")</x:f>
        <x:v>22.78474759369857</x:v>
      </x:c>
      <x:c r="E8" s="256" t="n">
        <x:f aca="0">IF(AND('Verified Inputs'!$C$8&gt;0,$B8&gt;E$5),('DCF'!C17/(1+$B8)^'DCF'!C15+'DCF'!D17/(1+$B8)^'DCF'!D15+'DCF'!E17/(1+$B8)^'DCF'!E15+'DCF'!F17/(1+$B8)^'DCF'!F15+'DCF'!G17/(1+$B8)^'DCF'!G15+(('Operating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Forecast'!G9*E$5)/($B8-E$5))/(1+$B8)^'DCF'!G14+'Verified Inputs'!$C$60-'Verified Inputs'!$C$61+'Verified Inputs'!$C$15)/'Verified Inputs'!$C$8,"INVALID")</x:f>
        <x:v>23.39825133291416</x:v>
      </x:c>
      <x:c r="F8" s="256" t="n">
        <x:f aca="0">IF(AND('Verified Inputs'!$C$8&gt;0,$B8&gt;F$5),('DCF'!C17/(1+$B8)^'DCF'!C15+'DCF'!D17/(1+$B8)^'DCF'!D15+'DCF'!E17/(1+$B8)^'DCF'!E15+'DCF'!F17/(1+$B8)^'DCF'!F15+'DCF'!G17/(1+$B8)^'DCF'!G15+(('Operating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Forecast'!G9*F$5)/($B8-F$5))/(1+$B8)^'DCF'!G14+'Verified Inputs'!$C$60-'Verified Inputs'!$C$61+'Verified Inputs'!$C$15)/'Verified Inputs'!$C$8,"INVALID")</x:f>
        <x:v>24.070760762901845</x:v>
      </x:c>
      <x:c r="G8" s="256" t="n">
        <x:f aca="0">IF(AND('Verified Inputs'!$C$8&gt;0,$B8&gt;G$5),('DCF'!C17/(1+$B8)^'DCF'!C15+'DCF'!D17/(1+$B8)^'DCF'!D15+'DCF'!E17/(1+$B8)^'DCF'!E15+'DCF'!F17/(1+$B8)^'DCF'!F15+'DCF'!G17/(1+$B8)^'DCF'!G15+(('Operating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Forecast'!G9*G$5)/($B8-G$5))/(1+$B8)^'DCF'!G14+'Verified Inputs'!$C$60-'Verified Inputs'!$C$61+'Verified Inputs'!$C$15)/'Verified Inputs'!$C$8,"INVALID")</x:f>
        <x:v>24.811218519487046</x:v>
      </x:c>
      <x:c r="H8" s="86"/>
      <x:c r="I8" s="86"/>
      <x:c r="J8" s="86"/>
      <x:c r="K8" s="2"/>
      <x:c r="L8" s="2"/>
    </x:row>
    <x:row r="9" ht="19" hidden="0" customHeight="1">
      <x:c r="A9" s="86"/>
      <x:c r="B9" s="221" t="n">
        <x:f>'DCF'!$C$9+0.01</x:f>
        <x:v>0.13897365596230826</x:v>
      </x:c>
      <x:c r="C9" s="256" t="n">
        <x:f aca="0">IF(AND('Verified Inputs'!$C$8&gt;0,$B9&gt;C$5),('DCF'!C17/(1+$B9)^'DCF'!C15+'DCF'!D17/(1+$B9)^'DCF'!D15+'DCF'!E17/(1+$B9)^'DCF'!E15+'DCF'!F17/(1+$B9)^'DCF'!F15+'DCF'!G17/(1+$B9)^'DCF'!G15+(('Operating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Forecast'!G9*C$5)/($B9-C$5))/(1+$B9)^'DCF'!G14+'Verified Inputs'!$C$60-'Verified Inputs'!$C$61+'Verified Inputs'!$C$15)/'Verified Inputs'!$C$8,"INVALID")</x:f>
        <x:v>20.771535805200894</x:v>
      </x:c>
      <x:c r="D9" s="256" t="n">
        <x:f aca="0">IF(AND('Verified Inputs'!$C$8&gt;0,$B9&gt;D$5),('DCF'!C17/(1+$B9)^'DCF'!C15+'DCF'!D17/(1+$B9)^'DCF'!D15+'DCF'!E17/(1+$B9)^'DCF'!E15+'DCF'!F17/(1+$B9)^'DCF'!F15+'DCF'!G17/(1+$B9)^'DCF'!G15+(('Operating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Forecast'!G9*D$5)/($B9-D$5))/(1+$B9)^'DCF'!G14+'Verified Inputs'!$C$60-'Verified Inputs'!$C$61+'Verified Inputs'!$C$15)/'Verified Inputs'!$C$8,"INVALID")</x:f>
        <x:v>21.233443427913993</x:v>
      </x:c>
      <x:c r="E9" s="256" t="n">
        <x:f aca="0">IF(AND('Verified Inputs'!$C$8&gt;0,$B9&gt;E$5),('DCF'!C17/(1+$B9)^'DCF'!C15+'DCF'!D17/(1+$B9)^'DCF'!D15+'DCF'!E17/(1+$B9)^'DCF'!E15+'DCF'!F17/(1+$B9)^'DCF'!F15+'DCF'!G17/(1+$B9)^'DCF'!G15+(('Operating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Forecast'!G9*E$5)/($B9-E$5))/(1+$B9)^'DCF'!G14+'Verified Inputs'!$C$60-'Verified Inputs'!$C$61+'Verified Inputs'!$C$15)/'Verified Inputs'!$C$8,"INVALID")</x:f>
        <x:v>21.734175412119317</x:v>
      </x:c>
      <x:c r="F9" s="256" t="n">
        <x:f aca="0">IF(AND('Verified Inputs'!$C$8&gt;0,$B9&gt;F$5),('DCF'!C17/(1+$B9)^'DCF'!C15+'DCF'!D17/(1+$B9)^'DCF'!D15+'DCF'!E17/(1+$B9)^'DCF'!E15+'DCF'!F17/(1+$B9)^'DCF'!F15+'DCF'!G17/(1+$B9)^'DCF'!G15+(('Operating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Forecast'!G9*F$5)/($B9-F$5))/(1+$B9)^'DCF'!G14+'Verified Inputs'!$C$60-'Verified Inputs'!$C$61+'Verified Inputs'!$C$15)/'Verified Inputs'!$C$8,"INVALID")</x:f>
        <x:v>22.278841407213164</x:v>
      </x:c>
      <x:c r="G9" s="256" t="n">
        <x:f aca="0">IF(AND('Verified Inputs'!$C$8&gt;0,$B9&gt;G$5),('DCF'!C17/(1+$B9)^'DCF'!C15+'DCF'!D17/(1+$B9)^'DCF'!D15+'DCF'!E17/(1+$B9)^'DCF'!E15+'DCF'!F17/(1+$B9)^'DCF'!F15+'DCF'!G17/(1+$B9)^'DCF'!G15+(('Operating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Forecast'!G9*G$5)/($B9-G$5))/(1+$B9)^'DCF'!G14+'Verified Inputs'!$C$60-'Verified Inputs'!$C$61+'Verified Inputs'!$C$15)/'Verified Inputs'!$C$8,"INVALID")</x:f>
        <x:v>22.873488839589637</x:v>
      </x:c>
      <x:c r="H9" s="86"/>
      <x:c r="I9" s="86"/>
      <x:c r="J9" s="86"/>
      <x:c r="K9" s="2"/>
      <x:c r="L9" s="2"/>
    </x:row>
    <x:row r="10" ht="19" hidden="0" customHeight="1">
      <x:c r="A10" s="86"/>
      <x:c r="B10" s="221" t="n">
        <x:f>'DCF'!$C$9+0.02</x:f>
        <x:v>0.14897365596230824</x:v>
      </x:c>
      <x:c r="C10" s="256" t="n">
        <x:f aca="0">IF(AND('Verified Inputs'!$C$8&gt;0,$B10&gt;C$5),('DCF'!C17/(1+$B10)^'DCF'!C15+'DCF'!D17/(1+$B10)^'DCF'!D15+'DCF'!E17/(1+$B10)^'DCF'!E15+'DCF'!F17/(1+$B10)^'DCF'!F15+'DCF'!G17/(1+$B10)^'DCF'!G15+(('Operating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Forecast'!G9*C$5)/($B10-C$5))/(1+$B10)^'DCF'!G14+'Verified Inputs'!$C$60-'Verified Inputs'!$C$61+'Verified Inputs'!$C$15)/'Verified Inputs'!$C$8,"INVALID")</x:f>
        <x:v>19.531144738855897</x:v>
      </x:c>
      <x:c r="D10" s="256" t="n">
        <x:f aca="0">IF(AND('Verified Inputs'!$C$8&gt;0,$B10&gt;D$5),('DCF'!C17/(1+$B10)^'DCF'!C15+'DCF'!D17/(1+$B10)^'DCF'!D15+'DCF'!E17/(1+$B10)^'DCF'!E15+'DCF'!F17/(1+$B10)^'DCF'!F15+'DCF'!G17/(1+$B10)^'DCF'!G15+(('Operating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Forecast'!G9*D$5)/($B10-D$5))/(1+$B10)^'DCF'!G14+'Verified Inputs'!$C$60-'Verified Inputs'!$C$61+'Verified Inputs'!$C$15)/'Verified Inputs'!$C$8,"INVALID")</x:f>
        <x:v>19.915734902349236</x:v>
      </x:c>
      <x:c r="E10" s="256" t="n">
        <x:f aca="0">IF(AND('Verified Inputs'!$C$8&gt;0,$B10&gt;E$5),('DCF'!C17/(1+$B10)^'DCF'!C15+'DCF'!D17/(1+$B10)^'DCF'!D15+'DCF'!E17/(1+$B10)^'DCF'!E15+'DCF'!F17/(1+$B10)^'DCF'!F15+'DCF'!G17/(1+$B10)^'DCF'!G15+(('Operating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Forecast'!G9*E$5)/($B10-E$5))/(1+$B10)^'DCF'!G14+'Verified Inputs'!$C$60-'Verified Inputs'!$C$61+'Verified Inputs'!$C$15)/'Verified Inputs'!$C$8,"INVALID")</x:f>
        <x:v>20.330144346425403</x:v>
      </x:c>
      <x:c r="F10" s="256" t="n">
        <x:f aca="0">IF(AND('Verified Inputs'!$C$8&gt;0,$B10&gt;F$5),('DCF'!C17/(1+$B10)^'DCF'!C15+'DCF'!D17/(1+$B10)^'DCF'!D15+'DCF'!E17/(1+$B10)^'DCF'!E15+'DCF'!F17/(1+$B10)^'DCF'!F15+'DCF'!G17/(1+$B10)^'DCF'!G15+(('Operating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Forecast'!G9*F$5)/($B10-F$5))/(1+$B10)^'DCF'!G14+'Verified Inputs'!$C$60-'Verified Inputs'!$C$61+'Verified Inputs'!$C$15)/'Verified Inputs'!$C$8,"INVALID")</x:f>
        <x:v>20.777981008635898</x:v>
      </x:c>
      <x:c r="G10" s="256" t="n">
        <x:f aca="0">IF(AND('Verified Inputs'!$C$8&gt;0,$B10&gt;G$5),('DCF'!C17/(1+$B10)^'DCF'!C15+'DCF'!D17/(1+$B10)^'DCF'!D15+'DCF'!E17/(1+$B10)^'DCF'!E15+'DCF'!F17/(1+$B10)^'DCF'!F15+'DCF'!G17/(1+$B10)^'DCF'!G15+(('Operating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Forecast'!G9*G$5)/($B10-G$5))/(1+$B10)^'DCF'!G14+'Verified Inputs'!$C$60-'Verified Inputs'!$C$61+'Verified Inputs'!$C$15)/'Verified Inputs'!$C$8,"INVALID")</x:f>
        <x:v>21.26345933685961</x:v>
      </x:c>
      <x:c r="H10" s="86"/>
      <x:c r="I10" s="86"/>
      <x:c r="J10" s="86"/>
      <x:c r="K10" s="2"/>
      <x:c r="L10" s="2"/>
    </x:row>
    <x:row r="11" ht="19" hidden="0" customHeight="1">
      <x:c r="A11" s="86"/>
      <x:c r="B11" s="86"/>
      <x:c r="C11" s="86"/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109"/>
      <x:c r="B12" s="109"/>
      <x:c r="C12" s="109"/>
      <x:c r="D12" s="109"/>
      <x:c r="E12" s="109"/>
      <x:c r="F12" s="109"/>
      <x:c r="G12" s="109"/>
      <x:c r="H12" s="109"/>
      <x:c r="I12" s="109"/>
      <x:c r="J12" s="109"/>
      <x:c r="K12" s="2"/>
      <x:c r="L12" s="2"/>
    </x:row>
    <x:row r="13" ht="24" hidden="0" customHeight="1">
      <x:c r="A13" s="86"/>
      <x:c r="B13" s="278" t="str">
        <x:v>Value per share: WACC × exit multiple</x:v>
      </x:c>
      <x:c r="C13" s="254"/>
      <x:c r="D13" s="254"/>
      <x:c r="E13" s="254"/>
      <x:c r="F13" s="254"/>
      <x:c r="G13" s="254"/>
      <x:c r="H13" s="103"/>
      <x:c r="I13" s="103"/>
      <x:c r="J13" s="103"/>
      <x:c r="K13" s="2"/>
      <x:c r="L13" s="2"/>
    </x:row>
    <x:row r="14" ht="19" hidden="0" customHeight="1">
      <x:c r="A14" s="86"/>
      <x:c r="B14" s="126" t="str">
        <x:v>WACC / multiple</x:v>
      </x:c>
      <x:c r="C14" s="235" t="n">
        <x:f aca="0">'Assumptions'!$C$32+-2</x:f>
        <x:v>4.5</x:v>
      </x:c>
      <x:c r="D14" s="235" t="n">
        <x:f aca="0">'Assumptions'!$C$32+-1</x:f>
        <x:v>5.5</x:v>
      </x:c>
      <x:c r="E14" s="235" t="n">
        <x:f aca="0">'Assumptions'!$C$32+0</x:f>
        <x:v>6.5</x:v>
      </x:c>
      <x:c r="F14" s="235" t="n">
        <x:f aca="0">'Assumptions'!$C$32+1</x:f>
        <x:v>7.5</x:v>
      </x:c>
      <x:c r="G14" s="235" t="n">
        <x:f aca="0">'Assumptions'!$C$32+2</x:f>
        <x:v>8.5</x:v>
      </x:c>
      <x:c r="H14" s="86"/>
      <x:c r="I14" s="86"/>
      <x:c r="J14" s="86"/>
      <x:c r="K14" s="2"/>
      <x:c r="L14" s="2"/>
    </x:row>
    <x:row r="15" ht="19" hidden="0" customHeight="1">
      <x:c r="A15" s="86"/>
      <x:c r="B15" s="221" t="n">
        <x:f>'DCF'!$C$9+-0.02</x:f>
        <x:v>0.10897365596230825</x:v>
      </x:c>
      <x:c r="C15" s="256" t="n">
        <x:f aca="0">IF(AND('Verified Inputs'!$C$8&gt;0,$B15&gt;0),('DCF'!C17/(1+$B15)^'DCF'!C15+'DCF'!D17/(1+$B15)^'DCF'!D15+'DCF'!E17/(1+$B15)^'DCF'!E15+'DCF'!F17/(1+$B15)^'DCF'!F15+'DCF'!G17/(1+$B15)^'DCF'!G15+(C$14*'Operating Forecast'!G20)/(1+$B15)^'DCF'!G14+'Verified Inputs'!$C$60-'Verified Inputs'!$C$61+'Verified Inputs'!$C$15)/'Verified Inputs'!$C$8,"INVALID")</x:f>
        <x:v>25.0763911851338</x:v>
      </x:c>
      <x:c r="D15" s="256" t="n">
        <x:f aca="0">IF(AND('Verified Inputs'!$C$8&gt;0,$B15&gt;0),('DCF'!C17/(1+$B15)^'DCF'!C15+'DCF'!D17/(1+$B15)^'DCF'!D15+'DCF'!E17/(1+$B15)^'DCF'!E15+'DCF'!F17/(1+$B15)^'DCF'!F15+'DCF'!G17/(1+$B15)^'DCF'!G15+(D$14*'Operating Forecast'!G20)/(1+$B15)^'DCF'!G14+'Verified Inputs'!$C$60-'Verified Inputs'!$C$61+'Verified Inputs'!$C$15)/'Verified Inputs'!$C$8,"INVALID")</x:f>
        <x:v>28.22967445055581</x:v>
      </x:c>
      <x:c r="E15" s="256" t="n">
        <x:f aca="0">IF(AND('Verified Inputs'!$C$8&gt;0,$B15&gt;0),('DCF'!C17/(1+$B15)^'DCF'!C15+'DCF'!D17/(1+$B15)^'DCF'!D15+'DCF'!E17/(1+$B15)^'DCF'!E15+'DCF'!F17/(1+$B15)^'DCF'!F15+'DCF'!G17/(1+$B15)^'DCF'!G15+(E$14*'Operating Forecast'!G20)/(1+$B15)^'DCF'!G14+'Verified Inputs'!$C$60-'Verified Inputs'!$C$61+'Verified Inputs'!$C$15)/'Verified Inputs'!$C$8,"INVALID")</x:f>
        <x:v>31.382957715977817</x:v>
      </x:c>
      <x:c r="F15" s="256" t="n">
        <x:f aca="0">IF(AND('Verified Inputs'!$C$8&gt;0,$B15&gt;0),('DCF'!C17/(1+$B15)^'DCF'!C15+'DCF'!D17/(1+$B15)^'DCF'!D15+'DCF'!E17/(1+$B15)^'DCF'!E15+'DCF'!F17/(1+$B15)^'DCF'!F15+'DCF'!G17/(1+$B15)^'DCF'!G15+(F$14*'Operating Forecast'!G20)/(1+$B15)^'DCF'!G14+'Verified Inputs'!$C$60-'Verified Inputs'!$C$61+'Verified Inputs'!$C$15)/'Verified Inputs'!$C$8,"INVALID")</x:f>
        <x:v>34.53624098139983</x:v>
      </x:c>
      <x:c r="G15" s="256" t="n">
        <x:f aca="0">IF(AND('Verified Inputs'!$C$8&gt;0,$B15&gt;0),('DCF'!C17/(1+$B15)^'DCF'!C15+'DCF'!D17/(1+$B15)^'DCF'!D15+'DCF'!E17/(1+$B15)^'DCF'!E15+'DCF'!F17/(1+$B15)^'DCF'!F15+'DCF'!G17/(1+$B15)^'DCF'!G15+(G$14*'Operating Forecast'!G20)/(1+$B15)^'DCF'!G14+'Verified Inputs'!$C$60-'Verified Inputs'!$C$61+'Verified Inputs'!$C$15)/'Verified Inputs'!$C$8,"INVALID")</x:f>
        <x:v>37.689524246821826</x:v>
      </x:c>
      <x:c r="H15" s="86"/>
      <x:c r="I15" s="86"/>
      <x:c r="J15" s="86"/>
      <x:c r="K15" s="2"/>
      <x:c r="L15" s="2"/>
    </x:row>
    <x:row r="16" ht="19" hidden="0" customHeight="1">
      <x:c r="A16" s="86"/>
      <x:c r="B16" s="221" t="n">
        <x:f>'DCF'!$C$9+-0.01</x:f>
        <x:v>0.11897365596230826</x:v>
      </x:c>
      <x:c r="C16" s="256" t="n">
        <x:f aca="0">IF(AND('Verified Inputs'!$C$8&gt;0,$B16&gt;0),('DCF'!C17/(1+$B16)^'DCF'!C15+'DCF'!D17/(1+$B16)^'DCF'!D15+'DCF'!E17/(1+$B16)^'DCF'!E15+'DCF'!F17/(1+$B16)^'DCF'!F15+'DCF'!G17/(1+$B16)^'DCF'!G15+(C$14*'Operating Forecast'!G20)/(1+$B16)^'DCF'!G14+'Verified Inputs'!$C$60-'Verified Inputs'!$C$61+'Verified Inputs'!$C$15)/'Verified Inputs'!$C$8,"INVALID")</x:f>
        <x:v>24.375552738086405</x:v>
      </x:c>
      <x:c r="D16" s="256" t="n">
        <x:f aca="0">IF(AND('Verified Inputs'!$C$8&gt;0,$B16&gt;0),('DCF'!C17/(1+$B16)^'DCF'!C15+'DCF'!D17/(1+$B16)^'DCF'!D15+'DCF'!E17/(1+$B16)^'DCF'!E15+'DCF'!F17/(1+$B16)^'DCF'!F15+'DCF'!G17/(1+$B16)^'DCF'!G15+(D$14*'Operating Forecast'!G20)/(1+$B16)^'DCF'!G14+'Verified Inputs'!$C$60-'Verified Inputs'!$C$61+'Verified Inputs'!$C$15)/'Verified Inputs'!$C$8,"INVALID")</x:f>
        <x:v>27.406341001102923</x:v>
      </x:c>
      <x:c r="E16" s="256" t="n">
        <x:f aca="0">IF(AND('Verified Inputs'!$C$8&gt;0,$B16&gt;0),('DCF'!C17/(1+$B16)^'DCF'!C15+'DCF'!D17/(1+$B16)^'DCF'!D15+'DCF'!E17/(1+$B16)^'DCF'!E15+'DCF'!F17/(1+$B16)^'DCF'!F15+'DCF'!G17/(1+$B16)^'DCF'!G15+(E$14*'Operating Forecast'!G20)/(1+$B16)^'DCF'!G14+'Verified Inputs'!$C$60-'Verified Inputs'!$C$61+'Verified Inputs'!$C$15)/'Verified Inputs'!$C$8,"INVALID")</x:f>
        <x:v>30.437129264119445</x:v>
      </x:c>
      <x:c r="F16" s="256" t="n">
        <x:f aca="0">IF(AND('Verified Inputs'!$C$8&gt;0,$B16&gt;0),('DCF'!C17/(1+$B16)^'DCF'!C15+'DCF'!D17/(1+$B16)^'DCF'!D15+'DCF'!E17/(1+$B16)^'DCF'!E15+'DCF'!F17/(1+$B16)^'DCF'!F15+'DCF'!G17/(1+$B16)^'DCF'!G15+(F$14*'Operating Forecast'!G20)/(1+$B16)^'DCF'!G14+'Verified Inputs'!$C$60-'Verified Inputs'!$C$61+'Verified Inputs'!$C$15)/'Verified Inputs'!$C$8,"INVALID")</x:f>
        <x:v>33.46791752713597</x:v>
      </x:c>
      <x:c r="G16" s="256" t="n">
        <x:f aca="0">IF(AND('Verified Inputs'!$C$8&gt;0,$B16&gt;0),('DCF'!C17/(1+$B16)^'DCF'!C15+'DCF'!D17/(1+$B16)^'DCF'!D15+'DCF'!E17/(1+$B16)^'DCF'!E15+'DCF'!F17/(1+$B16)^'DCF'!F15+'DCF'!G17/(1+$B16)^'DCF'!G15+(G$14*'Operating Forecast'!G20)/(1+$B16)^'DCF'!G14+'Verified Inputs'!$C$60-'Verified Inputs'!$C$61+'Verified Inputs'!$C$15)/'Verified Inputs'!$C$8,"INVALID")</x:f>
        <x:v>36.498705790152485</x:v>
      </x:c>
      <x:c r="H16" s="86"/>
      <x:c r="I16" s="86"/>
      <x:c r="J16" s="86"/>
      <x:c r="K16" s="2"/>
      <x:c r="L16" s="2"/>
    </x:row>
    <x:row r="17" ht="19" hidden="0" customHeight="1">
      <x:c r="A17" s="86"/>
      <x:c r="B17" s="221" t="n">
        <x:f>'DCF'!$C$9+0</x:f>
        <x:v>0.12897365596230825</x:v>
      </x:c>
      <x:c r="C17" s="256" t="n">
        <x:f aca="0">IF(AND('Verified Inputs'!$C$8&gt;0,$B17&gt;0),('DCF'!C17/(1+$B17)^'DCF'!C15+'DCF'!D17/(1+$B17)^'DCF'!D15+'DCF'!E17/(1+$B17)^'DCF'!E15+'DCF'!F17/(1+$B17)^'DCF'!F15+'DCF'!G17/(1+$B17)^'DCF'!G15+(C$14*'Operating Forecast'!G20)/(1+$B17)^'DCF'!G14+'Verified Inputs'!$C$60-'Verified Inputs'!$C$61+'Verified Inputs'!$C$15)/'Verified Inputs'!$C$8,"INVALID")</x:f>
        <x:v>23.705696125716965</x:v>
      </x:c>
      <x:c r="D17" s="256" t="n">
        <x:f aca="0">IF(AND('Verified Inputs'!$C$8&gt;0,$B17&gt;0),('DCF'!C17/(1+$B17)^'DCF'!C15+'DCF'!D17/(1+$B17)^'DCF'!D15+'DCF'!E17/(1+$B17)^'DCF'!E15+'DCF'!F17/(1+$B17)^'DCF'!F15+'DCF'!G17/(1+$B17)^'DCF'!G15+(D$14*'Operating Forecast'!G20)/(1+$B17)^'DCF'!G14+'Verified Inputs'!$C$60-'Verified Inputs'!$C$61+'Verified Inputs'!$C$15)/'Verified Inputs'!$C$8,"INVALID")</x:f>
        <x:v>26.619775008511457</x:v>
      </x:c>
      <x:c r="E17" s="256" t="n">
        <x:f aca="0">IF(AND('Verified Inputs'!$C$8&gt;0,$B17&gt;0),('DCF'!C17/(1+$B17)^'DCF'!C15+'DCF'!D17/(1+$B17)^'DCF'!D15+'DCF'!E17/(1+$B17)^'DCF'!E15+'DCF'!F17/(1+$B17)^'DCF'!F15+'DCF'!G17/(1+$B17)^'DCF'!G15+(E$14*'Operating Forecast'!G20)/(1+$B17)^'DCF'!G14+'Verified Inputs'!$C$60-'Verified Inputs'!$C$61+'Verified Inputs'!$C$15)/'Verified Inputs'!$C$8,"INVALID")</x:f>
        <x:v>29.53385389130594</x:v>
      </x:c>
      <x:c r="F17" s="256" t="n">
        <x:f aca="0">IF(AND('Verified Inputs'!$C$8&gt;0,$B17&gt;0),('DCF'!C17/(1+$B17)^'DCF'!C15+'DCF'!D17/(1+$B17)^'DCF'!D15+'DCF'!E17/(1+$B17)^'DCF'!E15+'DCF'!F17/(1+$B17)^'DCF'!F15+'DCF'!G17/(1+$B17)^'DCF'!G15+(F$14*'Operating Forecast'!G20)/(1+$B17)^'DCF'!G14+'Verified Inputs'!$C$60-'Verified Inputs'!$C$61+'Verified Inputs'!$C$15)/'Verified Inputs'!$C$8,"INVALID")</x:f>
        <x:v>32.44793277410044</x:v>
      </x:c>
      <x:c r="G17" s="256" t="n">
        <x:f aca="0">IF(AND('Verified Inputs'!$C$8&gt;0,$B17&gt;0),('DCF'!C17/(1+$B17)^'DCF'!C15+'DCF'!D17/(1+$B17)^'DCF'!D15+'DCF'!E17/(1+$B17)^'DCF'!E15+'DCF'!F17/(1+$B17)^'DCF'!F15+'DCF'!G17/(1+$B17)^'DCF'!G15+(G$14*'Operating Forecast'!G20)/(1+$B17)^'DCF'!G14+'Verified Inputs'!$C$60-'Verified Inputs'!$C$61+'Verified Inputs'!$C$15)/'Verified Inputs'!$C$8,"INVALID")</x:f>
        <x:v>35.36201165689492</x:v>
      </x:c>
      <x:c r="H17" s="86"/>
      <x:c r="I17" s="86"/>
      <x:c r="J17" s="86"/>
      <x:c r="K17" s="2"/>
      <x:c r="L17" s="2"/>
    </x:row>
    <x:row r="18" ht="19" hidden="0" customHeight="1">
      <x:c r="A18" s="86"/>
      <x:c r="B18" s="221" t="n">
        <x:f>'DCF'!$C$9+0.01</x:f>
        <x:v>0.13897365596230826</x:v>
      </x:c>
      <x:c r="C18" s="256" t="n">
        <x:f aca="0">IF(AND('Verified Inputs'!$C$8&gt;0,$B18&gt;0),('DCF'!C17/(1+$B18)^'DCF'!C15+'DCF'!D17/(1+$B18)^'DCF'!D15+'DCF'!E17/(1+$B18)^'DCF'!E15+'DCF'!F17/(1+$B18)^'DCF'!F15+'DCF'!G17/(1+$B18)^'DCF'!G15+(C$14*'Operating Forecast'!G20)/(1+$B18)^'DCF'!G14+'Verified Inputs'!$C$60-'Verified Inputs'!$C$61+'Verified Inputs'!$C$15)/'Verified Inputs'!$C$8,"INVALID")</x:f>
        <x:v>23.065158577104373</x:v>
      </x:c>
      <x:c r="D18" s="256" t="n">
        <x:f aca="0">IF(AND('Verified Inputs'!$C$8&gt;0,$B18&gt;0),('DCF'!C17/(1+$B18)^'DCF'!C15+'DCF'!D17/(1+$B18)^'DCF'!D15+'DCF'!E17/(1+$B18)^'DCF'!E15+'DCF'!F17/(1+$B18)^'DCF'!F15+'DCF'!G17/(1+$B18)^'DCF'!G15+(D$14*'Operating Forecast'!G20)/(1+$B18)^'DCF'!G14+'Verified Inputs'!$C$60-'Verified Inputs'!$C$61+'Verified Inputs'!$C$15)/'Verified Inputs'!$C$8,"INVALID")</x:f>
        <x:v>25.867992768797627</x:v>
      </x:c>
      <x:c r="E18" s="256" t="n">
        <x:f aca="0">IF(AND('Verified Inputs'!$C$8&gt;0,$B18&gt;0),('DCF'!C17/(1+$B18)^'DCF'!C15+'DCF'!D17/(1+$B18)^'DCF'!D15+'DCF'!E17/(1+$B18)^'DCF'!E15+'DCF'!F17/(1+$B18)^'DCF'!F15+'DCF'!G17/(1+$B18)^'DCF'!G15+(E$14*'Operating Forecast'!G20)/(1+$B18)^'DCF'!G14+'Verified Inputs'!$C$60-'Verified Inputs'!$C$61+'Verified Inputs'!$C$15)/'Verified Inputs'!$C$8,"INVALID")</x:f>
        <x:v>28.67082696049087</x:v>
      </x:c>
      <x:c r="F18" s="256" t="n">
        <x:f aca="0">IF(AND('Verified Inputs'!$C$8&gt;0,$B18&gt;0),('DCF'!C17/(1+$B18)^'DCF'!C15+'DCF'!D17/(1+$B18)^'DCF'!D15+'DCF'!E17/(1+$B18)^'DCF'!E15+'DCF'!F17/(1+$B18)^'DCF'!F15+'DCF'!G17/(1+$B18)^'DCF'!G15+(F$14*'Operating Forecast'!G20)/(1+$B18)^'DCF'!G14+'Verified Inputs'!$C$60-'Verified Inputs'!$C$61+'Verified Inputs'!$C$15)/'Verified Inputs'!$C$8,"INVALID")</x:f>
        <x:v>31.473661152184125</x:v>
      </x:c>
      <x:c r="G18" s="256" t="n">
        <x:f aca="0">IF(AND('Verified Inputs'!$C$8&gt;0,$B18&gt;0),('DCF'!C17/(1+$B18)^'DCF'!C15+'DCF'!D17/(1+$B18)^'DCF'!D15+'DCF'!E17/(1+$B18)^'DCF'!E15+'DCF'!F17/(1+$B18)^'DCF'!F15+'DCF'!G17/(1+$B18)^'DCF'!G15+(G$14*'Operating Forecast'!G20)/(1+$B18)^'DCF'!G14+'Verified Inputs'!$C$60-'Verified Inputs'!$C$61+'Verified Inputs'!$C$15)/'Verified Inputs'!$C$8,"INVALID")</x:f>
        <x:v>34.27649534387737</x:v>
      </x:c>
      <x:c r="H18" s="86"/>
      <x:c r="I18" s="86"/>
      <x:c r="J18" s="86"/>
      <x:c r="K18" s="2"/>
      <x:c r="L18" s="2"/>
    </x:row>
    <x:row r="19" ht="19" hidden="0" customHeight="1">
      <x:c r="A19" s="86"/>
      <x:c r="B19" s="227" t="n">
        <x:f>'DCF'!$C$9+0.02</x:f>
        <x:v>0.14897365596230824</x:v>
      </x:c>
      <x:c r="C19" s="259" t="n">
        <x:f>IF(AND('Verified Inputs'!$C$8&gt;0,$B19&gt;0),('DCF'!C17/(1+$B19)^'DCF'!C15+'DCF'!D17/(1+$B19)^'DCF'!D15+'DCF'!E17/(1+$B19)^'DCF'!E15+'DCF'!F17/(1+$B19)^'DCF'!F15+'DCF'!G17/(1+$B19)^'DCF'!G15+(C$14*'Operating Forecast'!G20)/(1+$B19)^'DCF'!G14+'Verified Inputs'!$C$60-'Verified Inputs'!$C$61+'Verified Inputs'!$C$15)/'Verified Inputs'!$C$8,"INVALID")</x:f>
        <x:v>22.45238090600421</x:v>
      </x:c>
      <x:c r="D19" s="259" t="n">
        <x:f>IF(AND('Verified Inputs'!$C$8&gt;0,$B19&gt;0),('DCF'!C17/(1+$B19)^'DCF'!C15+'DCF'!D17/(1+$B19)^'DCF'!D15+'DCF'!E17/(1+$B19)^'DCF'!E15+'DCF'!F17/(1+$B19)^'DCF'!F15+'DCF'!G17/(1+$B19)^'DCF'!G15+(D$14*'Operating Forecast'!G20)/(1+$B19)^'DCF'!G14+'Verified Inputs'!$C$60-'Verified Inputs'!$C$61+'Verified Inputs'!$C$15)/'Verified Inputs'!$C$8,"INVALID")</x:f>
        <x:v>25.149134563876036</x:v>
      </x:c>
      <x:c r="E19" s="259" t="n">
        <x:f>IF(AND('Verified Inputs'!$C$8&gt;0,$B19&gt;0),('DCF'!C17/(1+$B19)^'DCF'!C15+'DCF'!D17/(1+$B19)^'DCF'!D15+'DCF'!E17/(1+$B19)^'DCF'!E15+'DCF'!F17/(1+$B19)^'DCF'!F15+'DCF'!G17/(1+$B19)^'DCF'!G15+(E$14*'Operating Forecast'!G20)/(1+$B19)^'DCF'!G14+'Verified Inputs'!$C$60-'Verified Inputs'!$C$61+'Verified Inputs'!$C$15)/'Verified Inputs'!$C$8,"INVALID")</x:f>
        <x:v>27.845888221747867</x:v>
      </x:c>
      <x:c r="F19" s="259" t="n">
        <x:f>IF(AND('Verified Inputs'!$C$8&gt;0,$B19&gt;0),('DCF'!C17/(1+$B19)^'DCF'!C15+'DCF'!D17/(1+$B19)^'DCF'!D15+'DCF'!E17/(1+$B19)^'DCF'!E15+'DCF'!F17/(1+$B19)^'DCF'!F15+'DCF'!G17/(1+$B19)^'DCF'!G15+(F$14*'Operating Forecast'!G20)/(1+$B19)^'DCF'!G14+'Verified Inputs'!$C$60-'Verified Inputs'!$C$61+'Verified Inputs'!$C$15)/'Verified Inputs'!$C$8,"INVALID")</x:f>
        <x:v>30.542641879619694</x:v>
      </x:c>
      <x:c r="G19" s="259" t="n">
        <x:f>IF(AND('Verified Inputs'!$C$8&gt;0,$B19&gt;0),('DCF'!C17/(1+$B19)^'DCF'!C15+'DCF'!D17/(1+$B19)^'DCF'!D15+'DCF'!E17/(1+$B19)^'DCF'!E15+'DCF'!F17/(1+$B19)^'DCF'!F15+'DCF'!G17/(1+$B19)^'DCF'!G15+(G$14*'Operating Forecast'!G20)/(1+$B19)^'DCF'!G14+'Verified Inputs'!$C$60-'Verified Inputs'!$C$61+'Verified Inputs'!$C$15)/'Verified Inputs'!$C$8,"INVALID")</x:f>
        <x:v>33.23939553749152</x:v>
      </x:c>
      <x:c r="H19" s="86"/>
      <x:c r="I19" s="86"/>
      <x:c r="J19" s="86"/>
      <x:c r="K19" s="2"/>
      <x:c r="L19" s="2"/>
    </x:row>
    <x:row r="20" ht="19" hidden="0" customHeight="1">
      <x:c r="A20" s="86"/>
      <x:c r="B20" s="123"/>
      <x:c r="C20" s="86"/>
      <x:c r="D20" s="86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23"/>
      <x:c r="C21" s="86"/>
      <x:c r="D21" s="86"/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105" t="str">
        <x:v>Sensitivity tables use the same cash, debt and share inputs as the DCF. Center cells match the DCF when growth and exit multiples match the active assumptions.</x:v>
      </x:c>
      <x:c r="C23" s="105"/>
      <x:c r="D23" s="105"/>
      <x:c r="E23" s="105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</x:row>
    <x:row r="25" ht="19" hidden="0" customHeight="1">
      <x:c r="A25" s="86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2"/>
      <x:c r="L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mergeCells>
    <x:mergeCell ref="A1:J1"/>
    <x:mergeCell ref="A2:J3"/>
    <x:mergeCell ref="B4:J4"/>
    <x:mergeCell ref="B13:J13"/>
    <x:mergeCell ref="B23:J25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SOURCES &amp; MODEL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Financial sources, accounting adjustments and valuation conventions. September 8, 2026.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247" t="str">
        <x:v>Current quarter: https://gapinc-prod-a6bndyfubmc5d9ey.z03.azurefd.net/gapmedia/gapcorporatesite/media/images/brand/gap-inc/q2-2026-epr-fs.pdf</x:v>
      </x:c>
      <x:c r="C5" s="247"/>
      <x:c r="D5" s="247"/>
      <x:c r="E5" s="247"/>
      <x:c r="F5" s="105"/>
      <x:c r="G5" s="105"/>
      <x:c r="H5" s="105"/>
      <x:c r="I5" s="105"/>
      <x:c r="J5" s="105"/>
      <x:c r="K5" s="2"/>
      <x:c r="L5" s="2"/>
    </x:row>
    <x:row r="6" ht="19" hidden="0" customHeight="1">
      <x:c r="A6" s="86"/>
      <x:c r="B6" s="105"/>
      <x:c r="C6" s="105"/>
      <x:c r="D6" s="105"/>
      <x:c r="E6" s="167"/>
      <x:c r="F6" s="105"/>
      <x:c r="G6" s="105"/>
      <x:c r="H6" s="105"/>
      <x:c r="I6" s="105"/>
      <x:c r="J6" s="105"/>
      <x:c r="K6" s="2"/>
      <x:c r="L6" s="2"/>
    </x:row>
    <x:row r="7" ht="19" hidden="0" customHeight="1">
      <x:c r="A7" s="86"/>
      <x:c r="B7" s="105"/>
      <x:c r="C7" s="105"/>
      <x:c r="D7" s="105"/>
      <x:c r="E7" s="167"/>
      <x:c r="F7" s="105"/>
      <x:c r="G7" s="105"/>
      <x:c r="H7" s="105"/>
      <x:c r="I7" s="105"/>
      <x:c r="J7" s="105"/>
      <x:c r="K7" s="2"/>
      <x:c r="L7" s="2"/>
    </x:row>
    <x:row r="8" ht="19" hidden="0" customHeight="1">
      <x:c r="A8" s="86"/>
      <x:c r="B8" s="86"/>
      <x:c r="C8" s="86"/>
      <x:c r="D8" s="86"/>
      <x:c r="E8" s="123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5" t="str">
        <x:v>Latest full year: https://gapinc-prod-a6bndyfubmc5d9ey.z03.azurefd.net/gapmedia/gapcorporatesite/media/images/brand/gap-inc/q4-2025-epr-fs_1.pdf</x:v>
      </x:c>
      <x:c r="C9" s="105"/>
      <x:c r="D9" s="105"/>
      <x:c r="E9" s="167"/>
      <x:c r="F9" s="105"/>
      <x:c r="G9" s="105"/>
      <x:c r="H9" s="105"/>
      <x:c r="I9" s="105"/>
      <x:c r="J9" s="105"/>
      <x:c r="K9" s="2"/>
      <x:c r="L9" s="2"/>
    </x:row>
    <x:row r="10" ht="19" hidden="0" customHeight="1">
      <x:c r="A10" s="86"/>
      <x:c r="B10" s="105"/>
      <x:c r="C10" s="105"/>
      <x:c r="D10" s="105"/>
      <x:c r="E10" s="167"/>
      <x:c r="F10" s="105"/>
      <x:c r="G10" s="105"/>
      <x:c r="H10" s="105"/>
      <x:c r="I10" s="105"/>
      <x:c r="J10" s="105"/>
      <x:c r="K10" s="2"/>
      <x:c r="L10" s="2"/>
    </x:row>
    <x:row r="11" ht="19" hidden="0" customHeight="1">
      <x:c r="A11" s="86"/>
      <x:c r="B11" s="105"/>
      <x:c r="C11" s="105"/>
      <x:c r="D11" s="105"/>
      <x:c r="E11" s="167"/>
      <x:c r="F11" s="105"/>
      <x:c r="G11" s="105"/>
      <x:c r="H11" s="105"/>
      <x:c r="I11" s="105"/>
      <x:c r="J11" s="105"/>
      <x:c r="K11" s="2"/>
      <x:c r="L11" s="2"/>
    </x:row>
    <x:row r="12" ht="19" hidden="0" customHeight="1">
      <x:c r="A12" s="86"/>
      <x:c r="B12" s="86"/>
      <x:c r="C12" s="86"/>
      <x:c r="D12" s="86"/>
      <x:c r="E12" s="123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105" t="str">
        <x:v>Gap’s recurring H1 EBIT removes $417m tariff recovery and the $263m settlement/donation benefit. These gains are not capitalized into terminal earnings. Sources: Q2 release and FY2025 outlook at https://www.gapinc.com/en-us/articles/2026/03/gap-inc-reports-fourth-quarter-and-fiscal-2025-res</x:v>
      </x:c>
      <x:c r="C13" s="105"/>
      <x:c r="D13" s="105"/>
      <x:c r="E13" s="167"/>
      <x:c r="F13" s="105"/>
      <x:c r="G13" s="105"/>
      <x:c r="H13" s="105"/>
      <x:c r="I13" s="105"/>
      <x:c r="J13" s="105"/>
      <x:c r="K13" s="2"/>
      <x:c r="L13" s="2"/>
    </x:row>
    <x:row r="14" ht="19" hidden="0" customHeight="1">
      <x:c r="A14" s="86"/>
      <x:c r="B14" s="105"/>
      <x:c r="C14" s="105"/>
      <x:c r="D14" s="105"/>
      <x:c r="E14" s="167"/>
      <x:c r="F14" s="105"/>
      <x:c r="G14" s="105"/>
      <x:c r="H14" s="105"/>
      <x:c r="I14" s="105"/>
      <x:c r="J14" s="105"/>
      <x:c r="K14" s="2"/>
      <x:c r="L14" s="2"/>
    </x:row>
    <x:row r="15" ht="19" hidden="0" customHeight="1">
      <x:c r="A15" s="86"/>
      <x:c r="B15" s="105"/>
      <x:c r="C15" s="105"/>
      <x:c r="D15" s="105"/>
      <x:c r="E15" s="105"/>
      <x:c r="F15" s="105"/>
      <x:c r="G15" s="105"/>
      <x:c r="H15" s="105"/>
      <x:c r="I15" s="105"/>
      <x:c r="J15" s="105"/>
      <x:c r="K15" s="2"/>
      <x:c r="L15" s="2"/>
    </x:row>
    <x:row r="16" ht="19" hidden="0" customHeight="1">
      <x:c r="A16" s="109"/>
      <x:c r="B16" s="247"/>
      <x:c r="C16" s="247"/>
      <x:c r="D16" s="247"/>
      <x:c r="E16" s="247"/>
      <x:c r="F16" s="247"/>
      <x:c r="G16" s="247"/>
      <x:c r="H16" s="247"/>
      <x:c r="I16" s="247"/>
      <x:c r="J16" s="247"/>
      <x:c r="K16" s="2"/>
      <x:c r="L16" s="2"/>
    </x:row>
    <x:row r="17" ht="19" hidden="0" customHeight="1">
      <x:c r="A17" s="86"/>
      <x:c r="B17" s="109"/>
      <x:c r="C17" s="109"/>
      <x:c r="D17" s="109"/>
      <x:c r="E17" s="109"/>
      <x:c r="F17" s="86"/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86"/>
      <x:c r="C18" s="86"/>
      <x:c r="D18" s="86"/>
      <x:c r="E18" s="123"/>
      <x:c r="F18" s="86"/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105" t="str">
        <x:v>FY2025 free cash flow: $823m, calculated as operating cash flow less capital expenditure. Share repurchases: $75m in FY2024 and $155m in FY2025; employee withholding taxes are excluded.</x:v>
      </x:c>
      <x:c r="C19" s="105"/>
      <x:c r="D19" s="105"/>
      <x:c r="E19" s="167"/>
      <x:c r="F19" s="105"/>
      <x:c r="G19" s="105"/>
      <x:c r="H19" s="105"/>
      <x:c r="I19" s="105"/>
      <x:c r="J19" s="105"/>
      <x:c r="K19" s="2"/>
      <x:c r="L19" s="2"/>
    </x:row>
    <x:row r="20" ht="19" hidden="0" customHeight="1">
      <x:c r="A20" s="86"/>
      <x:c r="B20" s="105"/>
      <x:c r="C20" s="105"/>
      <x:c r="D20" s="105"/>
      <x:c r="E20" s="167"/>
      <x:c r="F20" s="105"/>
      <x:c r="G20" s="105"/>
      <x:c r="H20" s="105"/>
      <x:c r="I20" s="105"/>
      <x:c r="J20" s="105"/>
      <x:c r="K20" s="2"/>
      <x:c r="L20" s="2"/>
    </x:row>
    <x:row r="21" ht="19" hidden="0" customHeight="1">
      <x:c r="A21" s="86"/>
      <x:c r="B21" s="105"/>
      <x:c r="C21" s="105"/>
      <x:c r="D21" s="105"/>
      <x:c r="E21" s="167"/>
      <x:c r="F21" s="105"/>
      <x:c r="G21" s="105"/>
      <x:c r="H21" s="105"/>
      <x:c r="I21" s="105"/>
      <x:c r="J21" s="105"/>
      <x:c r="K21" s="2"/>
      <x:c r="L21" s="2"/>
    </x:row>
    <x:row r="22" ht="19" hidden="0" customHeight="1">
      <x:c r="A22" s="86"/>
      <x:c r="B22" s="86"/>
      <x:c r="C22" s="86"/>
      <x:c r="D22" s="86"/>
      <x:c r="E22" s="123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105" t="str">
        <x:v>Acquisition debt carries forward from each period-end balance. Required new draws and cash retained after debt repayment are shown separately.</x:v>
      </x:c>
      <x:c r="C23" s="105"/>
      <x:c r="D23" s="105"/>
      <x:c r="E23" s="167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</x:row>
    <x:row r="25" ht="19" hidden="0" customHeight="1">
      <x:c r="A25" s="109"/>
      <x:c r="B25" s="247"/>
      <x:c r="C25" s="247"/>
      <x:c r="D25" s="247"/>
      <x:c r="E25" s="247"/>
      <x:c r="F25" s="247"/>
      <x:c r="G25" s="247"/>
      <x:c r="H25" s="247"/>
      <x:c r="I25" s="247"/>
      <x:c r="J25" s="247"/>
      <x:c r="K25" s="2"/>
      <x:c r="L25" s="2"/>
    </x:row>
    <x:row r="26" ht="19" hidden="0" customHeight="1">
      <x:c r="A26" s="86"/>
      <x:c r="B26" s="109"/>
      <x:c r="C26" s="86"/>
      <x:c r="D26" s="123"/>
      <x:c r="E26" s="132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247" t="str">
        <x:v>The assumed offer price and buyer price ceiling are separate measures. The ceiling reflects the selected return hurdle and financing assumptions.</x:v>
      </x:c>
      <x:c r="C27" s="105"/>
      <x:c r="D27" s="167"/>
      <x:c r="E27" s="132"/>
      <x:c r="F27" s="105"/>
      <x:c r="G27" s="105"/>
      <x:c r="H27" s="105"/>
      <x:c r="I27" s="105"/>
      <x:c r="J27" s="105"/>
      <x:c r="K27" s="2"/>
      <x:c r="L27" s="2"/>
    </x:row>
    <x:row r="28" ht="19" hidden="0" customHeight="1">
      <x:c r="A28" s="86"/>
      <x:c r="B28" s="247"/>
      <x:c r="C28" s="105"/>
      <x:c r="D28" s="167"/>
      <x:c r="E28" s="132"/>
      <x:c r="F28" s="105"/>
      <x:c r="G28" s="105"/>
      <x:c r="H28" s="105"/>
      <x:c r="I28" s="105"/>
      <x:c r="J28" s="105"/>
      <x:c r="K28" s="2"/>
      <x:c r="L28" s="2"/>
    </x:row>
    <x:row r="29" ht="19" hidden="0" customHeight="1">
      <x:c r="A29" s="86"/>
      <x:c r="B29" s="247"/>
      <x:c r="C29" s="105"/>
      <x:c r="D29" s="167"/>
      <x:c r="E29" s="132"/>
      <x:c r="F29" s="105"/>
      <x:c r="G29" s="105"/>
      <x:c r="H29" s="105"/>
      <x:c r="I29" s="105"/>
      <x:c r="J29" s="105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105" t="str">
        <x:v>Asset assumptions: PP&amp;E depreciation and acquired-intangible amortization are separate. Goodwill is not amortized. Operating lease assets and liabilities remain flat, with rent expensed.</x:v>
      </x:c>
      <x:c r="C31" s="105"/>
      <x:c r="D31" s="105"/>
      <x:c r="E31" s="105"/>
      <x:c r="F31" s="105"/>
      <x:c r="G31" s="105"/>
      <x:c r="H31" s="105"/>
      <x:c r="I31" s="105"/>
      <x:c r="J31" s="105"/>
      <x:c r="K31" s="2"/>
      <x:c r="L31" s="2"/>
    </x:row>
    <x:row r="32" ht="19" hidden="0" customHeight="1">
      <x:c r="A32" s="86"/>
      <x:c r="B32" s="105"/>
      <x:c r="C32" s="105"/>
      <x:c r="D32" s="105"/>
      <x:c r="E32" s="105"/>
      <x:c r="F32" s="105"/>
      <x:c r="G32" s="105"/>
      <x:c r="H32" s="105"/>
      <x:c r="I32" s="105"/>
      <x:c r="J32" s="105"/>
      <x:c r="K32" s="2"/>
      <x:c r="L32" s="2"/>
    </x:row>
    <x:row r="33" ht="19" hidden="0" customHeight="1">
      <x:c r="A33" s="86"/>
      <x:c r="B33" s="105"/>
      <x:c r="C33" s="105"/>
      <x:c r="D33" s="105"/>
      <x:c r="E33" s="105"/>
      <x:c r="F33" s="105"/>
      <x:c r="G33" s="105"/>
      <x:c r="H33" s="105"/>
      <x:c r="I33" s="105"/>
      <x:c r="J33" s="105"/>
      <x:c r="K33" s="2"/>
      <x:c r="L33" s="2"/>
    </x:row>
    <x:row r="34" ht="19" hidden="0" customHeight="1">
      <x:c r="A34" s="86"/>
      <x:c r="B34" s="86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5" t="str">
        <x:v>DCF convention: only future cash flows are valued. Terminal value uses long-term growth and reinvestment assumptions. The exit-multiple method is a separate cross-check.</x:v>
      </x:c>
      <x:c r="C35" s="105"/>
      <x:c r="D35" s="105"/>
      <x:c r="E35" s="105"/>
      <x:c r="F35" s="105"/>
      <x:c r="G35" s="105"/>
      <x:c r="H35" s="105"/>
      <x:c r="I35" s="105"/>
      <x:c r="J35" s="105"/>
      <x:c r="K35" s="2"/>
      <x:c r="L35" s="2"/>
    </x:row>
    <x:row r="36" ht="19" hidden="0" customHeight="1">
      <x:c r="A36" s="86"/>
      <x:c r="B36" s="105"/>
      <x:c r="C36" s="105"/>
      <x:c r="D36" s="105"/>
      <x:c r="E36" s="105"/>
      <x:c r="F36" s="105"/>
      <x:c r="G36" s="105"/>
      <x:c r="H36" s="105"/>
      <x:c r="I36" s="105"/>
      <x:c r="J36" s="105"/>
      <x:c r="K36" s="2"/>
      <x:c r="L36" s="2"/>
    </x:row>
    <x:row r="37" ht="19" hidden="0" customHeight="1">
      <x:c r="A37" s="86"/>
      <x:c r="B37" s="105"/>
      <x:c r="C37" s="105"/>
      <x:c r="D37" s="105"/>
      <x:c r="E37" s="105"/>
      <x:c r="F37" s="105"/>
      <x:c r="G37" s="105"/>
      <x:c r="H37" s="105"/>
      <x:c r="I37" s="105"/>
      <x:c r="J37" s="105"/>
      <x:c r="K37" s="2"/>
      <x:c r="L37" s="2"/>
    </x:row>
    <x:row r="38" ht="19" hidden="0" customHeight="1">
      <x:c r="A38" s="86"/>
      <x:c r="B38" s="86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105" t="str">
        <x:v>Buyer-return assumptions: remaining forecast horizon, beginning-debt interest, cash available for debt repayment, retained exit cash and transaction fees.</x:v>
      </x:c>
      <x:c r="C39" s="105"/>
      <x:c r="D39" s="105"/>
      <x:c r="E39" s="105"/>
      <x:c r="F39" s="105"/>
      <x:c r="G39" s="105"/>
      <x:c r="H39" s="105"/>
      <x:c r="I39" s="105"/>
      <x:c r="J39" s="105"/>
      <x:c r="K39" s="2"/>
      <x:c r="L39" s="2"/>
    </x:row>
    <x:row r="40" ht="19" hidden="0" customHeight="1">
      <x:c r="A40" s="86"/>
      <x:c r="B40" s="105"/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</x:row>
    <x:row r="41" ht="19" hidden="0" customHeight="1">
      <x:c r="A41" s="86"/>
      <x:c r="B41" s="105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</x:row>
    <x:row r="42" ht="19" hidden="0" customHeight="1">
      <x:c r="A42" s="86"/>
      <x:c r="B42" s="86"/>
      <x:c r="C42" s="86"/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105" t="str">
        <x:v>Calculation checks cover balance sheets, cash and debt roll-forwards, revenue, equity bridges, liquidity, financing and valuation sensitivities.</x:v>
      </x:c>
      <x:c r="C43" s="105"/>
      <x:c r="D43" s="105"/>
      <x:c r="E43" s="105"/>
      <x:c r="F43" s="105"/>
      <x:c r="G43" s="105"/>
      <x:c r="H43" s="105"/>
      <x:c r="I43" s="105"/>
      <x:c r="J43" s="105"/>
      <x:c r="K43" s="2"/>
      <x:c r="L43" s="2"/>
    </x:row>
    <x:row r="44" ht="19" hidden="0" customHeight="1">
      <x:c r="A44" s="86"/>
      <x:c r="B44" s="105"/>
      <x:c r="C44" s="105"/>
      <x:c r="D44" s="105"/>
      <x:c r="E44" s="105"/>
      <x:c r="F44" s="105"/>
      <x:c r="G44" s="105"/>
      <x:c r="H44" s="105"/>
      <x:c r="I44" s="105"/>
      <x:c r="J44" s="105"/>
      <x:c r="K44" s="2"/>
      <x:c r="L44" s="2"/>
    </x:row>
    <x:row r="45" ht="19" hidden="0" customHeight="1">
      <x:c r="A45" s="86"/>
      <x:c r="B45" s="105"/>
      <x:c r="C45" s="105"/>
      <x:c r="D45" s="105"/>
      <x:c r="E45" s="105"/>
      <x:c r="F45" s="105"/>
      <x:c r="G45" s="105"/>
      <x:c r="H45" s="105"/>
      <x:c r="I45" s="105"/>
      <x:c r="J45" s="105"/>
      <x:c r="K45" s="2"/>
      <x:c r="L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05" t="str">
        <x:v>Peer and transaction reference figures are assumptions. Selected trading multiples drive valuation; the transaction reference list does not. Earlier historical periods provide context.</x:v>
      </x:c>
      <x:c r="C47" s="105"/>
      <x:c r="D47" s="105"/>
      <x:c r="E47" s="105"/>
      <x:c r="F47" s="105"/>
      <x:c r="G47" s="105"/>
      <x:c r="H47" s="105"/>
      <x:c r="I47" s="105"/>
      <x:c r="J47" s="105"/>
      <x:c r="K47" s="2"/>
      <x:c r="L47" s="2"/>
    </x:row>
    <x:row r="48" ht="19" hidden="0" customHeight="1">
      <x:c r="A48" s="86"/>
      <x:c r="B48" s="105"/>
      <x:c r="C48" s="105"/>
      <x:c r="D48" s="105"/>
      <x:c r="E48" s="105"/>
      <x:c r="F48" s="105"/>
      <x:c r="G48" s="105"/>
      <x:c r="H48" s="105"/>
      <x:c r="I48" s="105"/>
      <x:c r="J48" s="105"/>
      <x:c r="K48" s="2"/>
      <x:c r="L48" s="2"/>
    </x:row>
    <x:row r="49" ht="19" hidden="0" customHeight="1">
      <x:c r="A49" s="86"/>
      <x:c r="B49" s="105"/>
      <x:c r="C49" s="105"/>
      <x:c r="D49" s="105"/>
      <x:c r="E49" s="105"/>
      <x:c r="F49" s="105"/>
      <x:c r="G49" s="105"/>
      <x:c r="H49" s="105"/>
      <x:c r="I49" s="105"/>
      <x:c r="J49" s="105"/>
      <x:c r="K49" s="2"/>
      <x:c r="L49" s="2"/>
    </x:row>
    <x:row r="50" ht="19" hidden="0" customHeight="1">
      <x:c r="A50" s="86"/>
      <x:c r="B50" s="86"/>
      <x:c r="C50" s="86"/>
      <x:c r="D50" s="86"/>
      <x:c r="E50" s="86"/>
      <x:c r="F50" s="86"/>
      <x:c r="G50" s="86"/>
      <x:c r="H50" s="86"/>
      <x:c r="I50" s="86"/>
      <x:c r="J50" s="86"/>
      <x:c r="K50" s="2"/>
      <x:c r="L50" s="2"/>
    </x:row>
    <x:row r="51" ht="19" hidden="0" customHeight="1">
      <x:c r="A51" s="86"/>
      <x:c r="B51" s="105" t="str">
        <x:v>Share-count assumption: latest quarterly weighted-average shares represent the valuation-date denominator. Cash and debt use the stated balance-sheet date plus entered valuation adjustments.</x:v>
      </x:c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</x:row>
    <x:row r="52" ht="19" hidden="0" customHeight="1">
      <x:c r="A52" s="86"/>
      <x:c r="B52" s="105"/>
      <x:c r="C52" s="105"/>
      <x:c r="D52" s="105"/>
      <x:c r="E52" s="105"/>
      <x:c r="F52" s="105"/>
      <x:c r="G52" s="105"/>
      <x:c r="H52" s="105"/>
      <x:c r="I52" s="105"/>
      <x:c r="J52" s="105"/>
      <x:c r="K52" s="2"/>
      <x:c r="L52" s="2"/>
    </x:row>
    <x:row r="53" ht="19" hidden="0" customHeight="1">
      <x:c r="A53" s="86"/>
      <x:c r="B53" s="105"/>
      <x:c r="C53" s="105"/>
      <x:c r="D53" s="105"/>
      <x:c r="E53" s="105"/>
      <x:c r="F53" s="105"/>
      <x:c r="G53" s="105"/>
      <x:c r="H53" s="105"/>
      <x:c r="I53" s="105"/>
      <x:c r="J53" s="105"/>
      <x:c r="K53" s="2"/>
      <x:c r="L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105" t="str">
        <x:v>Price discipline: test the downside, set a ceiling before negotiating and keep buyer-created synergies separate from standalone value.</x:v>
      </x:c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</x:row>
    <x:row r="56" ht="19" hidden="0" customHeight="1">
      <x:c r="A56" s="86"/>
      <x:c r="B56" s="105"/>
      <x:c r="C56" s="105"/>
      <x:c r="D56" s="105"/>
      <x:c r="E56" s="105"/>
      <x:c r="F56" s="105"/>
      <x:c r="G56" s="105"/>
      <x:c r="H56" s="105"/>
      <x:c r="I56" s="105"/>
      <x:c r="J56" s="105"/>
      <x:c r="K56" s="2"/>
      <x:c r="L56" s="2"/>
    </x:row>
    <x:row r="57" ht="19" hidden="0" customHeight="1">
      <x:c r="A57" s="86"/>
      <x:c r="B57" s="105"/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  <x:c r="K61" s="2"/>
      <x:c r="L61" s="2"/>
    </x:row>
    <x:row r="62" ht="19" hidden="0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</x:row>
    <x:row r="63" ht="19" hidden="0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  <x:c r="K63" s="2"/>
      <x:c r="L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</x:row>
    <x:row r="65" ht="19" hidden="0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  <x:c r="K65" s="2"/>
      <x:c r="L65" s="2"/>
    </x:row>
    <x:row r="66" ht="19" hidden="0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  <x:c r="K66" s="2"/>
      <x:c r="L66" s="2"/>
    </x:row>
    <x:row r="67" ht="19" hidden="0" customHeight="1">
      <x:c r="A67" s="86"/>
      <x:c r="B67" s="86"/>
      <x:c r="C67" s="86"/>
      <x:c r="D67" s="86"/>
      <x:c r="E67" s="86"/>
      <x:c r="F67" s="86"/>
      <x:c r="G67" s="86"/>
      <x:c r="H67" s="86"/>
      <x:c r="I67" s="86"/>
      <x:c r="J67" s="86"/>
      <x:c r="K67" s="2"/>
      <x:c r="L67" s="2"/>
    </x:row>
    <x:row r="68" ht="19" hidden="0" customHeight="1">
      <x:c r="A68" s="86"/>
      <x:c r="B68" s="86"/>
      <x:c r="C68" s="86"/>
      <x:c r="D68" s="86"/>
      <x:c r="E68" s="86"/>
      <x:c r="F68" s="86"/>
      <x:c r="G68" s="86"/>
      <x:c r="H68" s="86"/>
      <x:c r="I68" s="86"/>
      <x:c r="J68" s="86"/>
      <x:c r="K68" s="2"/>
      <x:c r="L68" s="2"/>
    </x:row>
    <x:row r="69" ht="19" hidden="0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  <x:c r="K69" s="2"/>
      <x:c r="L69" s="2"/>
    </x:row>
    <x:row r="70" ht="19" hidden="0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  <x:c r="K70" s="2"/>
      <x:c r="L70" s="2"/>
    </x:row>
    <x:row r="71" ht="19" hidden="0" customHeight="1">
      <x:c r="A71" s="86"/>
      <x:c r="B71" s="86"/>
      <x:c r="C71" s="86"/>
      <x:c r="D71" s="86"/>
      <x:c r="E71" s="86"/>
      <x:c r="F71" s="86"/>
      <x:c r="G71" s="86"/>
      <x:c r="H71" s="86"/>
      <x:c r="I71" s="86"/>
      <x:c r="J71" s="86"/>
      <x:c r="K71" s="2"/>
      <x:c r="L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5:J7"/>
    <x:mergeCell ref="B9:J11"/>
    <x:mergeCell ref="B13:J16"/>
    <x:mergeCell ref="B19:J21"/>
    <x:mergeCell ref="B23:J25"/>
    <x:mergeCell ref="B27:J29"/>
    <x:mergeCell ref="B31:J33"/>
    <x:mergeCell ref="B35:J37"/>
    <x:mergeCell ref="B39:J41"/>
    <x:mergeCell ref="B43:J45"/>
    <x:mergeCell ref="B47:J49"/>
    <x:mergeCell ref="B51:J53"/>
    <x:mergeCell ref="B55:J5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5" width="1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CHECKS | CALCULATIONS &amp;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PASS / FAIL applies to calculation checks. ASSUMPTION identifies the model conventions shown below.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86"/>
      <x:c r="B4" s="109"/>
      <x:c r="C4" s="112"/>
      <x:c r="D4" s="112"/>
      <x:c r="E4" s="86"/>
      <x:c r="F4" s="86"/>
      <x:c r="G4" s="86"/>
      <x:c r="H4" s="86"/>
      <x:c r="I4" s="86"/>
      <x:c r="J4" s="86"/>
      <x:c r="K4" s="2"/>
      <x:c r="L4" s="2"/>
    </x:row>
    <x:row r="5" ht="19" hidden="0" customHeight="1">
      <x:c r="A5" s="86"/>
      <x:c r="B5" s="86" t="str">
        <x:v>Assertion</x:v>
      </x:c>
      <x:c r="C5" s="127" t="str">
        <x:v>Difference / value</x:v>
      </x:c>
      <x:c r="D5" s="112" t="str">
        <x:v>Expected</x:v>
      </x:c>
      <x:c r="E5" s="86" t="str">
        <x:v>Tolerance</x:v>
      </x:c>
      <x:c r="F5" s="86" t="str">
        <x:v>Status</x:v>
      </x:c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Opening assets tie to published total</x:v>
      </x:c>
      <x:c r="C6" s="196" t="n">
        <x:f aca="0">'Verified Inputs'!$C$67-'Verified Inputs'!$C$16</x:f>
        <x:v>0</x:v>
      </x:c>
      <x:c r="D6" s="145" t="n">
        <x:v>0</x:v>
      </x:c>
      <x:c r="E6" s="300" t="n">
        <x:v>0.0001</x:v>
      </x:c>
      <x:c r="F6" s="86" t="str">
        <x:f>IF(ABS(C6-D6)&lt;=E6,"PASS","FAIL")</x:f>
        <x:v>PASS</x:v>
      </x:c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Opening liabilities + equity tie</x:v>
      </x:c>
      <x:c r="C7" s="196" t="n">
        <x:f aca="0">'Verified Inputs'!$C$68-'Verified Inputs'!$C$16</x:f>
        <x:v>0</x:v>
      </x:c>
      <x:c r="D7" s="145" t="n">
        <x:v>0</x:v>
      </x:c>
      <x:c r="E7" s="300" t="n">
        <x:v>0.0001</x:v>
      </x:c>
      <x:c r="F7" s="86" t="str">
        <x:f>IF(ABS(C7-D7)&lt;=E7,"PASS","FAIL")</x:f>
        <x:v>PASS</x:v>
      </x:c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All forecast balance sheets tie</x:v>
      </x:c>
      <x:c r="C8" s="196" t="n">
        <x:f aca="0">MAX(ABS('Operating Forecast'!C81),ABS('Operating Forecast'!D81),ABS('Operating Forecast'!E81),ABS('Operating Forecast'!F81),ABS('Operating Forecast'!G81))</x:f>
        <x:v>1.8189894035458565e-12</x:v>
      </x:c>
      <x:c r="D8" s="145" t="n">
        <x:v>0</x:v>
      </x:c>
      <x:c r="E8" s="300" t="n">
        <x:v>0.0001</x:v>
      </x:c>
      <x:c r="F8" s="86" t="str">
        <x:f>IF(ABS(C8-D8)&lt;=E8,"PASS","FAIL")</x:f>
        <x:v>PASS</x:v>
      </x:c>
      <x:c r="G8" s="86"/>
      <x:c r="H8" s="86"/>
      <x:c r="I8" s="86"/>
      <x:c r="J8" s="86"/>
      <x:c r="K8" s="2"/>
      <x:c r="L8" s="2"/>
    </x:row>
    <x:row r="9" ht="19" hidden="0" customHeight="1">
      <x:c r="A9" s="86"/>
      <x:c r="B9" s="86" t="str">
        <x:v>Cash roll-forward in every year</x:v>
      </x:c>
      <x:c r="C9" s="196" t="n">
        <x:f aca="0">MAX(ABS('Operating Forecast'!C61-('Operating Forecast'!C50+'Operating Forecast'!C57+'Operating Forecast'!C58+'Operating Forecast'!C59+'Operating Forecast'!C60)),ABS('Operating Forecast'!D61-('Operating Forecast'!D50+'Operating Forecast'!D57+'Operating Forecast'!D58+'Operating Forecast'!D59+'Operating Forecast'!D60)),ABS('Operating Forecast'!E61-('Operating Forecast'!E50+'Operating Forecast'!E57+'Operating Forecast'!E58+'Operating Forecast'!E59+'Operating Forecast'!E60)),ABS('Operating Forecast'!F61-('Operating Forecast'!F50+'Operating Forecast'!F57+'Operating Forecast'!F58+'Operating Forecast'!F59+'Operating Forecast'!F60)),ABS('Operating Forecast'!G61-('Operating Forecast'!G50+'Operating Forecast'!G57+'Operating Forecast'!G58+'Operating Forecast'!G59+'Operating Forecast'!G60)))</x:f>
        <x:v>9.094947017729282e-13</x:v>
      </x:c>
      <x:c r="D9" s="145" t="n">
        <x:v>0</x:v>
      </x:c>
      <x:c r="E9" s="300" t="n">
        <x:v>0.0001</x:v>
      </x:c>
      <x:c r="F9" s="86" t="str">
        <x:f>IF(ABS(C9-D9)&lt;=E9,"PASS","FAIL")</x:f>
        <x:v>PASS</x:v>
      </x:c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Debt roll-forward in every year</x:v>
      </x:c>
      <x:c r="C10" s="196" t="n">
        <x:f aca="0">MAX(ABS('Operating Forecast'!C49-'Operating Forecast'!C47-'Operating Forecast'!C48),ABS('Operating Forecast'!D49-'Operating Forecast'!D47-'Operating Forecast'!D48),ABS('Operating Forecast'!E49-'Operating Forecast'!E47-'Operating Forecast'!E48),ABS('Operating Forecast'!F49-'Operating Forecast'!F47-'Operating Forecast'!F48),ABS('Operating Forecast'!G49-'Operating Forecast'!G47-'Operating Forecast'!G48))</x:f>
        <x:v>0</x:v>
      </x:c>
      <x:c r="D10" s="145" t="n">
        <x:v>0</x:v>
      </x:c>
      <x:c r="E10" s="300" t="n">
        <x:v>0.0001</x:v>
      </x:c>
      <x:c r="F10" s="86" t="str">
        <x:f>IF(ABS(C10-D10)&lt;=E10,"PASS","FAIL")</x:f>
        <x:v>PASS</x:v>
      </x:c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86" t="str">
        <x:v>Revenue equals its components</x:v>
      </x:c>
      <x:c r="C11" s="196" t="n">
        <x:f aca="0">MAX(ABS('Operating Forecast'!C12-'Operating Forecast'!C10-'Operating Forecast'!C11),ABS('Operating Forecast'!D12-'Operating Forecast'!D10-'Operating Forecast'!D11),ABS('Operating Forecast'!E12-'Operating Forecast'!E10-'Operating Forecast'!E11),ABS('Operating Forecast'!F12-'Operating Forecast'!F10-'Operating Forecast'!F11),ABS('Operating Forecast'!G12-'Operating Forecast'!G10-'Operating Forecast'!G11))</x:f>
        <x:v>0</x:v>
      </x:c>
      <x:c r="D11" s="145" t="n">
        <x:v>0</x:v>
      </x:c>
      <x:c r="E11" s="300" t="n">
        <x:v>0.0001</x:v>
      </x:c>
      <x:c r="F11" s="86" t="str">
        <x:f>IF(ABS(C11-D11)&lt;=E11,"PASS","FAIL")</x:f>
        <x:v>PASS</x:v>
      </x:c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 t="str">
        <x:v>First-year excludes realized H1 revenue</x:v>
      </x:c>
      <x:c r="C12" s="196" t="n">
        <x:f aca="0">'Operating Forecast'!C9-'Verified Inputs'!$C$36-'Operating Forecast'!C12</x:f>
        <x:v>0</x:v>
      </x:c>
      <x:c r="D12" s="145" t="n">
        <x:v>0</x:v>
      </x:c>
      <x:c r="E12" s="300" t="n">
        <x:v>0.0001</x:v>
      </x:c>
      <x:c r="F12" s="86" t="str">
        <x:f>IF(ABS(C12-D12)&lt;=E12,"PASS","FAIL")</x:f>
        <x:v>PASS</x:v>
      </x:c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86" t="str">
        <x:v>DCF includes only future stub cash</x:v>
      </x:c>
      <x:c r="C13" s="196" t="n">
        <x:f aca="0">'DCF'!C17-'Operating Forecast'!C90*'DCF'!C16</x:f>
        <x:v>0</x:v>
      </x:c>
      <x:c r="D13" s="145" t="n">
        <x:v>0</x:v>
      </x:c>
      <x:c r="E13" s="300" t="n">
        <x:v>0.0001</x:v>
      </x:c>
      <x:c r="F13" s="86" t="str">
        <x:f>IF(ABS(C13-D13)&lt;=E13,"PASS","FAIL")</x:f>
        <x:v>PASS</x:v>
      </x:c>
      <x:c r="G13" s="86"/>
      <x:c r="H13" s="86"/>
      <x:c r="I13" s="86"/>
      <x:c r="J13" s="86"/>
      <x:c r="K13" s="2"/>
      <x:c r="L13" s="2"/>
    </x:row>
    <x:row r="14" ht="19" hidden="0" customHeight="1">
      <x:c r="A14" s="86"/>
      <x:c r="B14" s="86" t="str">
        <x:v>DCF equity bridge ties</x:v>
      </x:c>
      <x:c r="C14" s="196" t="n">
        <x:f aca="0">'DCF'!C51-('DCF'!C35+'Verified Inputs'!$C$60-'Verified Inputs'!$C$61+'Verified Inputs'!$C$15)</x:f>
        <x:v>0</x:v>
      </x:c>
      <x:c r="D14" s="145" t="n">
        <x:v>0</x:v>
      </x:c>
      <x:c r="E14" s="300" t="n">
        <x:v>0.0001</x:v>
      </x:c>
      <x:c r="F14" s="86" t="str">
        <x:f>IF(ABS(C14-D14)&lt;=E14,"PASS","FAIL")</x:f>
        <x:v>PASS</x:v>
      </x:c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 t="str">
        <x:v>WACC exceeds terminal growth</x:v>
      </x:c>
      <x:c r="C15" s="104" t="n">
        <x:f>'DCF'!C9-'DCF'!C10</x:f>
        <x:v>0.10897365596230825</x:v>
      </x:c>
      <x:c r="D15" s="96" t="n">
        <x:v>0</x:v>
      </x:c>
      <x:c r="E15" s="300" t="n">
        <x:v>0</x:v>
      </x:c>
      <x:c r="F15" s="86" t="str">
        <x:f>IF(C15&gt;D15,"PASS","FAIL")</x:f>
        <x:v>PASS</x:v>
      </x:c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109" t="str">
        <x:v>Shares remain positive</x:v>
      </x:c>
      <x:c r="C16" s="104" t="n">
        <x:f>MIN('Verified Inputs'!$C$8,'Operating Forecast'!C43,'Operating Forecast'!D43,'Operating Forecast'!E43,'Operating Forecast'!F43,'Operating Forecast'!G43)</x:f>
        <x:v>336.2765091466125</x:v>
      </x:c>
      <x:c r="D16" s="145" t="n">
        <x:v>0</x:v>
      </x:c>
      <x:c r="E16" s="300" t="n">
        <x:v>0</x:v>
      </x:c>
      <x:c r="F16" s="86" t="str">
        <x:f>IF(C16&gt;D16,"PASS","FAIL")</x:f>
        <x:v>PASS</x:v>
      </x:c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86" t="str">
        <x:v>Operating cash stays above reserve</x:v>
      </x:c>
      <x:c r="C17" s="104" t="n">
        <x:f>MAX('Operating Forecast'!C94,'Operating Forecast'!D94,'Operating Forecast'!E94,'Operating Forecast'!F94,'Operating Forecast'!G94)</x:f>
        <x:v>0</x:v>
      </x:c>
      <x:c r="D17" s="96" t="n">
        <x:v>0</x:v>
      </x:c>
      <x:c r="E17" s="300" t="n">
        <x:v>0.0001</x:v>
      </x:c>
      <x:c r="F17" s="86" t="str">
        <x:f>IF(ABS(C17-D17)&lt;=E17,"PASS","FAIL")</x:f>
        <x:v>PASS</x:v>
      </x:c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86" t="str">
        <x:v>Buyer debt carries between years</x:v>
      </x:c>
      <x:c r="C18" s="104" t="n">
        <x:f>MAX(ABS('Acquisition Returns'!D23-'Acquisition Returns'!C28),ABS('Acquisition Returns'!E23-'Acquisition Returns'!D28),ABS('Acquisition Returns'!F23-'Acquisition Returns'!E28),ABS('Acquisition Returns'!G23-'Acquisition Returns'!F28))</x:f>
        <x:v>0</x:v>
      </x:c>
      <x:c r="D18" s="96" t="n">
        <x:v>0</x:v>
      </x:c>
      <x:c r="E18" s="300" t="n">
        <x:v>0.0001</x:v>
      </x:c>
      <x:c r="F18" s="86" t="str">
        <x:f>IF(ABS(C18-D18)&lt;=E18,"PASS","FAIL")</x:f>
        <x:v>PASS</x:v>
      </x:c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123" t="str">
        <x:v>Buyer debt roll-forward every year</x:v>
      </x:c>
      <x:c r="C19" s="104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9" s="96" t="n">
        <x:v>0</x:v>
      </x:c>
      <x:c r="E19" s="300" t="n">
        <x:v>0.0001</x:v>
      </x:c>
      <x:c r="F19" s="86" t="str">
        <x:f>IF(ABS(C19-D19)&lt;=E19,"PASS","FAIL")</x:f>
        <x:v>PASS</x:v>
      </x:c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123" t="str">
        <x:v>Buyer needs no uncommitted new financing</x:v>
      </x:c>
      <x:c r="C20" s="104" t="n">
        <x:f>'Acquisition Returns'!C54</x:f>
        <x:v>0</x:v>
      </x:c>
      <x:c r="D20" s="96" t="n">
        <x:v>0</x:v>
      </x:c>
      <x:c r="E20" s="300" t="n">
        <x:v>0.0001</x:v>
      </x:c>
      <x:c r="F20" s="86" t="str">
        <x:f>IF(ABS(C20-D20)&lt;=E20,"PASS","FAIL")</x:f>
        <x:v>PASS</x:v>
      </x:c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23" t="str">
        <x:v>Buyer interest coverage exceeds 1.0x</x:v>
      </x:c>
      <x:c r="C21" s="104" t="n">
        <x:f>'Acquisition Returns'!C53</x:f>
        <x:v>5.638726153394814</x:v>
      </x:c>
      <x:c r="D21" s="96" t="n">
        <x:v>1</x:v>
      </x:c>
      <x:c r="E21" s="300" t="n">
        <x:v>0</x:v>
      </x:c>
      <x:c r="F21" s="86" t="str">
        <x:f>IF(C21&gt;=D21,"PASS","FAIL")</x:f>
        <x:v>PASS</x:v>
      </x:c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123" t="str">
        <x:v>Buyer equity contribution is positive</x:v>
      </x:c>
      <x:c r="C22" s="104" t="n">
        <x:f>'Acquisition Returns'!C17</x:f>
        <x:v>4024.2274125000013</x:v>
      </x:c>
      <x:c r="D22" s="96" t="n">
        <x:v>0</x:v>
      </x:c>
      <x:c r="E22" s="300" t="n">
        <x:v>0</x:v>
      </x:c>
      <x:c r="F22" s="86" t="str">
        <x:f>IF(C22&gt;D22,"PASS","FAIL")</x:f>
        <x:v>PASS</x:v>
      </x:c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Hurdle price includes fees at solved EV</x:v>
      </x:c>
      <x:c r="C23" s="104" t="n">
        <x:f>'Acquisition Returns'!C47*(1+'Acquisition Returns'!C15)-'Acquisition Returns'!C14-'Acquisition Returns'!C46</x:f>
        <x:v>9.094947017729282e-13</x:v>
      </x:c>
      <x:c r="D23" s="96" t="n">
        <x:v>0</x:v>
      </x:c>
      <x:c r="E23" s="300" t="n">
        <x:v>0.0001</x:v>
      </x:c>
      <x:c r="F23" s="86" t="str">
        <x:f>IF(ABS(C23-D23)&lt;=E23,"PASS","FAIL")</x:f>
        <x:v>PASS</x:v>
      </x:c>
      <x:c r="G23" s="86"/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Selected multiple bounds are ordered</x:v>
      </x:c>
      <x:c r="C24" s="104" t="n">
        <x:f>MIN('Assumptions'!$C$36-'Assumptions'!$C$35,'Assumptions'!$C$38-'Assumptions'!$C$37)</x:f>
        <x:v>0.29999999999999993</x:v>
      </x:c>
      <x:c r="D24" s="96" t="n">
        <x:v>0</x:v>
      </x:c>
      <x:c r="E24" s="300" t="n">
        <x:v>0</x:v>
      </x:c>
      <x:c r="F24" s="86" t="str">
        <x:f>IF(C24&gt;=D24,"PASS","FAIL")</x:f>
        <x:v>PASS</x:v>
      </x:c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Higher WACC lowers DCF value</x:v>
      </x:c>
      <x:c r="C25" s="104" t="n">
        <x:f>'Sensitivities'!E6-'Sensitivities'!E10</x:f>
        <x:v>7.528440707637667</x:v>
      </x:c>
      <x:c r="D25" s="96" t="n">
        <x:v>0</x:v>
      </x:c>
      <x:c r="E25" s="300" t="n">
        <x:v>0</x:v>
      </x:c>
      <x:c r="F25" s="86" t="str">
        <x:f>IF(C25&gt;D25,"PASS","FAIL")</x:f>
        <x:v>PASS</x:v>
      </x:c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Higher exit multiple raises value</x:v>
      </x:c>
      <x:c r="C26" s="104" t="n">
        <x:f>'Sensitivities'!G17-'Sensitivities'!C17</x:f>
        <x:v>11.656315531177956</x:v>
      </x:c>
      <x:c r="D26" s="96" t="n">
        <x:v>0</x:v>
      </x:c>
      <x:c r="E26" s="300" t="n">
        <x:v>0</x:v>
      </x:c>
      <x:c r="F26" s="86" t="str">
        <x:f>IF(C26&gt;D26,"PASS","FAIL")</x:f>
        <x:v>PASS</x:v>
      </x:c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Scenario is 1, 2 or 3</x:v>
      </x:c>
      <x:c r="C27" s="104" t="n">
        <x:f>IF(OR('Assumptions'!C5=1,'Assumptions'!C5=2,'Assumptions'!C5=3),0,1)</x:f>
        <x:v>0</x:v>
      </x:c>
      <x:c r="D27" s="96" t="n">
        <x:v>0</x:v>
      </x:c>
      <x:c r="E27" s="300" t="n">
        <x:v>0.0001</x:v>
      </x:c>
      <x:c r="F27" s="86" t="str">
        <x:f>IF(ABS(C27-D27)&lt;=E27,"PASS","FAIL")</x:f>
        <x:v>PASS</x:v>
      </x:c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 t="str">
        <x:v>FY2025 historical FCF is $823m</x:v>
      </x:c>
      <x:c r="C28" s="104" t="n">
        <x:f>'Historical Financials'!G22-823</x:f>
        <x:v>0</x:v>
      </x:c>
      <x:c r="D28" s="96" t="n">
        <x:v>0</x:v>
      </x:c>
      <x:c r="E28" s="300" t="n">
        <x:v>0.0001</x:v>
      </x:c>
      <x:c r="F28" s="86" t="str">
        <x:f>IF(ABS(C28-D28)&lt;=E28,"PASS","FAIL")</x:f>
        <x:v>PASS</x:v>
      </x:c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 t="str">
        <x:v>FY GAAP operating income source tied</x:v>
      </x:c>
      <x:c r="C29" s="104" t="n">
        <x:f>'Historical Financials'!G12-'Verified Inputs'!$C$31</x:f>
        <x:v>0</x:v>
      </x:c>
      <x:c r="D29" s="96" t="n">
        <x:v>0</x:v>
      </x:c>
      <x:c r="E29" s="300" t="n">
        <x:v>0.0001</x:v>
      </x:c>
      <x:c r="F29" s="86" t="str">
        <x:f>IF(ABS(C29-D29)&lt;=E29,"PASS","FAIL")</x:f>
        <x:v>PASS</x:v>
      </x:c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86" t="str">
        <x:v>Calculation status</x:v>
      </x:c>
      <x:c r="C34" s="86"/>
      <x:c r="D34" s="86"/>
      <x:c r="E34" s="86"/>
      <x:c r="F34" s="86" t="str">
        <x:f>IF(SUMPRODUCT(--ISERROR(F6:F29))+COUNTIF(F6:F29,"FAIL")=0,"PASS","FAIL")</x:f>
        <x:v>PASS</x:v>
      </x:c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24" hidden="0" customHeight="1">
      <x:c r="A37" s="86"/>
      <x:c r="B37" s="103" t="str">
        <x:v>Model assumptions</x:v>
      </x:c>
      <x:c r="C37" s="103"/>
      <x:c r="D37" s="103"/>
      <x:c r="E37" s="103"/>
      <x:c r="F37" s="103"/>
      <x:c r="G37" s="103"/>
      <x:c r="H37" s="103"/>
      <x:c r="I37" s="103"/>
      <x:c r="J37" s="103"/>
      <x:c r="K37" s="2"/>
      <x:c r="L37" s="2"/>
    </x:row>
    <x:row r="38" ht="19" hidden="0" customHeight="1">
      <x:c r="A38" s="86"/>
      <x:c r="B38" s="86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86" t="str">
        <x:v>Valuation-day balances and dilution</x:v>
      </x:c>
      <x:c r="C39" s="302" t="n">
        <x:f>'Verified Inputs'!$C$53</x:f>
        <x:v>0</x:v>
      </x:c>
      <x:c r="D39" s="86"/>
      <x:c r="E39" s="86"/>
      <x:c r="F39" s="86" t="str">
        <x:f>IF(C39=1,"INPUT","ASSUMPTION")</x:f>
        <x:v>ASSUMPTION</x:v>
      </x:c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Peer reference basis</x:v>
      </x:c>
      <x:c r="C40" s="302" t="n">
        <x:f>'Verified Inputs'!$C$54</x:f>
        <x:v>0</x:v>
      </x:c>
      <x:c r="D40" s="86"/>
      <x:c r="E40" s="86"/>
      <x:c r="F40" s="86" t="str">
        <x:f>IF(C40=1,"INPUT","ASSUMPTION")</x:f>
        <x:v>ASSUMPTION</x:v>
      </x:c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86" t="str">
        <x:v>Cash-flow timing basis</x:v>
      </x:c>
      <x:c r="C41" s="302" t="n">
        <x:f>'Verified Inputs'!$C$55</x:f>
        <x:v>0</x:v>
      </x:c>
      <x:c r="D41" s="86"/>
      <x:c r="E41" s="86"/>
      <x:c r="F41" s="86" t="str">
        <x:f>IF(C41=1,"INPUT","ASSUMPTION")</x:f>
        <x:v>ASSUMPTION</x:v>
      </x:c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86" t="str">
        <x:v>Refinancing basis</x:v>
      </x:c>
      <x:c r="C42" s="302" t="n">
        <x:f>'Verified Inputs'!$C$56</x:f>
        <x:v>0</x:v>
      </x:c>
      <x:c r="D42" s="86"/>
      <x:c r="E42" s="86"/>
      <x:c r="F42" s="86" t="str">
        <x:f>IF(C42=1,"INPUT","ASSUMPTION")</x:f>
        <x:v>ASSUMPTION</x:v>
      </x:c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86"/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 t="str">
        <x:v>Terminal cash concentration</x:v>
      </x:c>
      <x:c r="C44" s="227" t="n">
        <x:f>'DCF'!C36</x:f>
        <x:v>0.5810532037292985</x:v>
      </x:c>
      <x:c r="D44" s="86"/>
      <x:c r="E44" s="86"/>
      <x:c r="F44" s="86" t="str">
        <x:f>IF(C44&lt;=0.85,"PASS","ASSUMPTION")</x:f>
        <x:v>PASS</x:v>
      </x:c>
      <x:c r="G44" s="86"/>
      <x:c r="H44" s="86"/>
      <x:c r="I44" s="86"/>
      <x:c r="J44" s="86"/>
      <x:c r="K44" s="2"/>
      <x:c r="L44" s="2"/>
    </x:row>
    <x:row r="45" ht="19" hidden="0" customHeight="1">
      <x:c r="A45" s="86"/>
      <x:c r="B45" s="86"/>
      <x:c r="C45" s="86"/>
      <x:c r="D45" s="86"/>
      <x:c r="E45" s="86"/>
      <x:c r="F45" s="86"/>
      <x:c r="G45" s="86"/>
      <x:c r="H45" s="86"/>
      <x:c r="I45" s="86"/>
      <x:c r="J45" s="86"/>
      <x:c r="K45" s="2"/>
      <x:c r="L45" s="2"/>
    </x:row>
    <x:row r="46" ht="19" hidden="0" customHeight="1">
      <x:c r="A46" s="86"/>
      <x:c r="B46" s="86" t="str">
        <x:v>Model basis</x:v>
      </x:c>
      <x:c r="C46" s="86"/>
      <x:c r="D46" s="86"/>
      <x:c r="E46" s="86"/>
      <x:c r="F46" s="86" t="str">
        <x:f>IF(F34="FAIL","FAIL",IF(COUNTIF(F39:F44,"ASSUMPTION")&gt;0,"ASSUMPTION","INPUT"))</x:f>
        <x:v>ASSUMPTION</x:v>
      </x:c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86"/>
      <x:c r="C49" s="86"/>
      <x:c r="D49" s="86"/>
      <x:c r="E49" s="86"/>
      <x:c r="F49" s="86"/>
      <x:c r="G49" s="86"/>
      <x:c r="H49" s="86"/>
      <x:c r="I49" s="86"/>
      <x:c r="J49" s="86"/>
      <x:c r="K49" s="2"/>
      <x:c r="L49" s="2"/>
    </x:row>
    <x:row r="50" ht="19" hidden="0" customHeight="1">
      <x:c r="A50" s="86"/>
      <x:c r="B50" s="105" t="str">
        <x:v>Assumption indicators use 0 for the stated model convention and 1 for a separately supplied input basis. Financial calculation checks remain independent.</x:v>
      </x:c>
      <x:c r="C50" s="105"/>
      <x:c r="D50" s="105"/>
      <x:c r="E50" s="105"/>
      <x:c r="F50" s="105"/>
      <x:c r="G50" s="105"/>
      <x:c r="H50" s="105"/>
      <x:c r="I50" s="105"/>
      <x:c r="J50" s="105"/>
      <x:c r="K50" s="2"/>
      <x:c r="L50" s="2"/>
    </x:row>
    <x:row r="51" ht="19" hidden="0" customHeight="1">
      <x:c r="A51" s="86"/>
      <x:c r="B51" s="105"/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</x:row>
    <x:row r="52" ht="19" hidden="0" customHeight="1">
      <x:c r="A52" s="86"/>
      <x:c r="B52" s="105"/>
      <x:c r="C52" s="105"/>
      <x:c r="D52" s="105"/>
      <x:c r="E52" s="105"/>
      <x:c r="F52" s="105"/>
      <x:c r="G52" s="105"/>
      <x:c r="H52" s="105"/>
      <x:c r="I52" s="105"/>
      <x:c r="J52" s="105"/>
      <x:c r="K52" s="2"/>
      <x:c r="L52" s="2"/>
    </x:row>
    <x:row r="53" ht="19" hidden="0" customHeight="1">
      <x:c r="A53" s="86"/>
      <x:c r="B53" s="86"/>
      <x:c r="C53" s="86"/>
      <x:c r="D53" s="86"/>
      <x:c r="E53" s="86"/>
      <x:c r="F53" s="86"/>
      <x:c r="G53" s="86"/>
      <x:c r="H53" s="86"/>
      <x:c r="I53" s="86"/>
      <x:c r="J53" s="86"/>
      <x:c r="K53" s="2"/>
      <x:c r="L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105" t="str">
        <x:v>Cash, interest coverage, financing needs, WACC and roll-forward checks apply in every scenario. Test the downside before using the buyer price ceiling.</x:v>
      </x:c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</x:row>
    <x:row r="56" ht="19" hidden="0" customHeight="1">
      <x:c r="A56" s="86"/>
      <x:c r="B56" s="105"/>
      <x:c r="C56" s="105"/>
      <x:c r="D56" s="105"/>
      <x:c r="E56" s="105"/>
      <x:c r="F56" s="105"/>
      <x:c r="G56" s="105"/>
      <x:c r="H56" s="105"/>
      <x:c r="I56" s="105"/>
      <x:c r="J56" s="105"/>
      <x:c r="K56" s="2"/>
      <x:c r="L56" s="2"/>
    </x:row>
    <x:row r="57" ht="19" hidden="0" customHeight="1">
      <x:c r="A57" s="86"/>
      <x:c r="B57" s="105"/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</x:row>
    <x:row r="62" ht="19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</x:row>
    <x:row r="63" ht="19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</x:row>
    <x:row r="64" ht="19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</x:row>
    <x:row r="65" ht="19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</x:row>
    <x:row r="66" ht="19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</x:row>
    <x:row r="67" ht="19" customHeight="1">
      <x:c r="A67" s="86"/>
      <x:c r="B67" s="86"/>
      <x:c r="C67" s="86"/>
      <x:c r="D67" s="86"/>
      <x:c r="E67" s="86"/>
      <x:c r="F67" s="86"/>
      <x:c r="G67" s="86"/>
      <x:c r="H67" s="86"/>
      <x:c r="I67" s="86"/>
      <x:c r="J67" s="86"/>
    </x:row>
    <x:row r="68" ht="19" customHeight="1">
      <x:c r="A68" s="86"/>
      <x:c r="B68" s="86"/>
      <x:c r="C68" s="86"/>
      <x:c r="D68" s="86"/>
      <x:c r="E68" s="86"/>
      <x:c r="F68" s="86"/>
      <x:c r="G68" s="86"/>
      <x:c r="H68" s="86"/>
      <x:c r="I68" s="86"/>
      <x:c r="J68" s="86"/>
    </x:row>
    <x:row r="69" ht="19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</x:row>
    <x:row r="70" ht="19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</x:row>
    <x:row r="71" ht="19" customHeight="1">
      <x:c r="A71" s="86"/>
      <x:c r="B71" s="86"/>
      <x:c r="C71" s="86"/>
      <x:c r="D71" s="86"/>
      <x:c r="E71" s="86"/>
      <x:c r="F71" s="86"/>
      <x:c r="G71" s="86"/>
      <x:c r="H71" s="86"/>
      <x:c r="I71" s="86"/>
      <x:c r="J71" s="86"/>
    </x:row>
    <x:row r="72" ht="19" customHeight="1">
      <x:c r="A72" s="86"/>
      <x:c r="B72" s="86"/>
      <x:c r="C72" s="86"/>
      <x:c r="D72" s="86"/>
      <x:c r="E72" s="86"/>
      <x:c r="F72" s="86"/>
      <x:c r="G72" s="86"/>
      <x:c r="H72" s="86"/>
      <x:c r="I72" s="86"/>
      <x:c r="J72" s="86"/>
    </x:row>
    <x:row r="73" ht="19" customHeight="1">
      <x:c r="A73" s="86"/>
      <x:c r="B73" s="86"/>
      <x:c r="C73" s="86"/>
      <x:c r="D73" s="86"/>
      <x:c r="E73" s="86"/>
      <x:c r="F73" s="86"/>
      <x:c r="G73" s="86"/>
      <x:c r="H73" s="86"/>
      <x:c r="I73" s="86"/>
      <x:c r="J73" s="86"/>
    </x:row>
    <x:row r="74" ht="19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</x:row>
    <x:row r="75" ht="19" customHeight="1">
      <x:c r="A75" s="86"/>
      <x:c r="B75" s="86"/>
      <x:c r="C75" s="86"/>
      <x:c r="D75" s="86"/>
      <x:c r="E75" s="86"/>
      <x:c r="F75" s="86"/>
      <x:c r="G75" s="86"/>
      <x:c r="H75" s="86"/>
      <x:c r="I75" s="86"/>
      <x:c r="J75" s="86"/>
    </x:row>
  </x:sheetData>
  <x:mergeCells>
    <x:mergeCell ref="A1:J1"/>
    <x:mergeCell ref="A2:J3"/>
    <x:mergeCell ref="B37:J37"/>
    <x:mergeCell ref="B50:J52"/>
    <x:mergeCell ref="B55:J57"/>
  </x:mergeCells>
  <x:conditionalFormatting sqref="F6:F46">
    <x:cfRule type="containsText" dxfId="2" priority="1" operator="containsText" text="FAIL"/>
    <x:cfRule type="containsText" dxfId="3" priority="2" operator="containsText" text="ASSUMPTION"/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customHeight="1">
      <x:c r="A1" s="88" t="str">
        <x:v>GAP INC. | SOURCE INPUTS</x:v>
      </x:c>
      <x:c r="B1" s="88"/>
      <x:c r="C1" s="88"/>
      <x:c r="D1" s="88"/>
      <x:c r="E1" s="88"/>
      <x:c r="F1" s="88"/>
      <x:c r="G1" s="88"/>
      <x:c r="H1" s="88"/>
      <x:c r="I1" s="88"/>
      <x:c r="J1" s="88"/>
    </x:row>
    <x:row r="2" ht="19" customHeight="1">
      <x:c r="A2" s="90" t="str">
        <x:v>US$ millions, except shares and per-share price. Latest reported balance sheet is a dated proxy for valuation-day balances.</x:v>
      </x:c>
      <x:c r="B2" s="90"/>
      <x:c r="C2" s="90"/>
      <x:c r="D2" s="90"/>
      <x:c r="E2" s="90"/>
      <x:c r="F2" s="90"/>
      <x:c r="G2" s="90"/>
      <x:c r="H2" s="90"/>
      <x:c r="I2" s="90"/>
      <x:c r="J2" s="90"/>
    </x:row>
    <x:row r="3" ht="19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</x:row>
    <x:row r="4" ht="19" customHeight="1">
      <x:c r="A4" s="86"/>
      <x:c r="B4" s="86" t="str">
        <x:v>Input</x:v>
      </x:c>
      <x:c r="C4" s="86" t="str">
        <x:v>Value</x:v>
      </x:c>
      <x:c r="D4" s="86" t="str">
        <x:v>Units</x:v>
      </x:c>
      <x:c r="E4" s="86" t="str">
        <x:v>Period / date</x:v>
      </x:c>
      <x:c r="F4" s="86" t="str">
        <x:v>Source / assumption</x:v>
      </x:c>
      <x:c r="G4" s="86" t="str"/>
      <x:c r="H4" s="86"/>
      <x:c r="I4" s="86"/>
      <x:c r="J4" s="86"/>
    </x:row>
    <x:row r="5" ht="28" customHeight="1">
      <x:c r="A5" s="86"/>
      <x:c r="B5" s="86" t="str">
        <x:v>Valuation date</x:v>
      </x:c>
      <x:c r="C5" s="91" t="n">
        <x:v>46269</x:v>
      </x:c>
      <x:c r="D5" s="86" t="str">
        <x:v>date</x:v>
      </x:c>
      <x:c r="E5" s="86" t="str">
        <x:v>2026-09-04</x:v>
      </x:c>
      <x:c r="F5" s="92" t="str">
        <x:v>Model convention</x:v>
      </x:c>
      <x:c r="G5" s="92"/>
      <x:c r="H5" s="92"/>
      <x:c r="I5" s="92"/>
      <x:c r="J5" s="92"/>
    </x:row>
    <x:row r="6" ht="28" customHeight="1">
      <x:c r="A6" s="86"/>
      <x:c r="B6" s="86" t="str">
        <x:v>Latest balance-sheet date</x:v>
      </x:c>
      <x:c r="C6" s="91" t="n">
        <x:v>46235</x:v>
      </x:c>
      <x:c r="D6" s="86" t="str">
        <x:v>date</x:v>
      </x:c>
      <x:c r="E6" s="86" t="str">
        <x:v>2026-08-01</x:v>
      </x:c>
      <x:c r="F6" s="92" t="str">
        <x:v>Q2</x:v>
      </x:c>
      <x:c r="G6" s="92"/>
      <x:c r="H6" s="92"/>
      <x:c r="I6" s="92"/>
      <x:c r="J6" s="92"/>
    </x:row>
    <x:row r="7" ht="28" customHeight="1">
      <x:c r="A7" s="86"/>
      <x:c r="B7" s="86" t="str">
        <x:v>Share price</x:v>
      </x:c>
      <x:c r="C7" s="95" t="n">
        <x:v>22.43</x:v>
      </x:c>
      <x:c r="D7" s="86" t="str">
        <x:v>$/share</x:v>
      </x:c>
      <x:c r="E7" s="86" t="str">
        <x:v>2026-09-04</x:v>
      </x:c>
      <x:c r="F7" s="92" t="str">
        <x:v>Share-price assumption at the stated date</x:v>
      </x:c>
      <x:c r="G7" s="92"/>
      <x:c r="H7" s="92"/>
      <x:c r="I7" s="92"/>
      <x:c r="J7" s="92"/>
    </x:row>
    <x:row r="8" ht="28" customHeight="1">
      <x:c r="A8" s="86"/>
      <x:c r="B8" s="86" t="str">
        <x:v>Diluted share denominator</x:v>
      </x:c>
      <x:c r="C8" s="98" t="n">
        <x:v>362</x:v>
      </x:c>
      <x:c r="D8" s="86" t="str">
        <x:v>million</x:v>
      </x:c>
      <x:c r="E8" s="86" t="str">
        <x:v>2026-08-01</x:v>
      </x:c>
      <x:c r="F8" s="92" t="str">
        <x:v>Assumption: Q2 diluted weighted-average shares</x:v>
      </x:c>
      <x:c r="G8" s="92"/>
      <x:c r="H8" s="92"/>
      <x:c r="I8" s="92"/>
      <x:c r="J8" s="92"/>
    </x:row>
    <x:row r="9" ht="28" customHeight="1">
      <x:c r="A9" s="86"/>
      <x:c r="B9" s="86" t="str">
        <x:v>Basic shares for WACC market equity</x:v>
      </x:c>
      <x:c r="C9" s="98" t="n">
        <x:v>355</x:v>
      </x:c>
      <x:c r="D9" s="86" t="str">
        <x:v>million</x:v>
      </x:c>
      <x:c r="E9" s="86" t="str">
        <x:v>2026-08-01</x:v>
      </x:c>
      <x:c r="F9" s="92" t="str">
        <x:v>Assumption: Q2 basic weighted-average shares</x:v>
      </x:c>
      <x:c r="G9" s="92"/>
      <x:c r="H9" s="92"/>
      <x:c r="I9" s="92"/>
      <x:c r="J9" s="92"/>
    </x:row>
    <x:row r="10" ht="28" customHeight="1">
      <x:c r="A10" s="86"/>
      <x:c r="B10" s="86" t="str">
        <x:v>Cash and equivalents</x:v>
      </x:c>
      <x:c r="C10" s="96" t="n">
        <x:v>2103</x:v>
      </x:c>
      <x:c r="D10" s="86" t="str">
        <x:v>$m</x:v>
      </x:c>
      <x:c r="E10" s="86" t="str">
        <x:v>2026-08-01</x:v>
      </x:c>
      <x:c r="F10" s="92" t="str">
        <x:v>Q2</x:v>
      </x:c>
      <x:c r="G10" s="92"/>
      <x:c r="H10" s="92"/>
      <x:c r="I10" s="92"/>
      <x:c r="J10" s="92"/>
    </x:row>
    <x:row r="11" ht="28" customHeight="1">
      <x:c r="A11" s="86"/>
      <x:c r="B11" s="86" t="str">
        <x:v>Short-term investments</x:v>
      </x:c>
      <x:c r="C11" s="96" t="n">
        <x:v>382</x:v>
      </x:c>
      <x:c r="D11" s="86" t="str">
        <x:v>$m</x:v>
      </x:c>
      <x:c r="E11" s="86" t="str">
        <x:v>2026-08-01</x:v>
      </x:c>
      <x:c r="F11" s="92" t="str">
        <x:v>Q2</x:v>
      </x:c>
      <x:c r="G11" s="92"/>
      <x:c r="H11" s="92"/>
      <x:c r="I11" s="92"/>
      <x:c r="J11" s="92"/>
    </x:row>
    <x:row r="12" ht="28" customHeight="1">
      <x:c r="A12" s="86"/>
      <x:c r="B12" s="86" t="str">
        <x:v>Funded debt</x:v>
      </x:c>
      <x:c r="C12" s="96" t="n">
        <x:v>1493</x:v>
      </x:c>
      <x:c r="D12" s="86" t="str">
        <x:v>$m</x:v>
      </x:c>
      <x:c r="E12" s="86" t="str">
        <x:v>2026-08-01</x:v>
      </x:c>
      <x:c r="F12" s="92" t="str">
        <x:v>Q2</x:v>
      </x:c>
      <x:c r="G12" s="92"/>
      <x:c r="H12" s="92"/>
      <x:c r="I12" s="92"/>
      <x:c r="J12" s="92"/>
    </x:row>
    <x:row r="13" ht="42" customHeight="1">
      <x:c r="A13" s="86"/>
      <x:c r="B13" s="86" t="str">
        <x:v>Valuation bridge: debt adjustment</x:v>
      </x:c>
      <x:c r="C13" s="98" t="n">
        <x:v>0</x:v>
      </x:c>
      <x:c r="D13" s="86" t="str">
        <x:v>$m</x:v>
      </x:c>
      <x:c r="E13" s="86" t="str">
        <x:v>User input</x:v>
      </x:c>
      <x:c r="F13" s="92" t="str">
        <x:v>Bridge only; does not forecast financing cash flows or interest. Use forecast debt-change row for those.</x:v>
      </x:c>
      <x:c r="G13" s="92"/>
      <x:c r="H13" s="92"/>
      <x:c r="I13" s="92"/>
      <x:c r="J13" s="92"/>
    </x:row>
    <x:row r="14" ht="28" customHeight="1">
      <x:c r="A14" s="86"/>
      <x:c r="B14" s="86" t="str">
        <x:v>Valuation bridge: cash adjustment</x:v>
      </x:c>
      <x:c r="C14" s="98" t="n">
        <x:v>0</x:v>
      </x:c>
      <x:c r="D14" s="86" t="str">
        <x:v>$m</x:v>
      </x:c>
      <x:c r="E14" s="86" t="str">
        <x:v>User input</x:v>
      </x:c>
      <x:c r="F14" s="92" t="str">
        <x:v>Bridge only; does not forecast transactions or cash yield. Default zero.</x:v>
      </x:c>
      <x:c r="G14" s="92"/>
      <x:c r="H14" s="92"/>
      <x:c r="I14" s="92"/>
      <x:c r="J14" s="92"/>
    </x:row>
    <x:row r="15" ht="28" customHeight="1">
      <x:c r="A15" s="86"/>
      <x:c r="B15" s="86" t="str">
        <x:v>Non-operating investment value credited</x:v>
      </x:c>
      <x:c r="C15" s="98" t="n">
        <x:v>0</x:v>
      </x:c>
      <x:c r="D15" s="86" t="str">
        <x:v>$m</x:v>
      </x:c>
      <x:c r="E15" s="86" t="str">
        <x:v>User assumption</x:v>
      </x:c>
      <x:c r="F15" s="92" t="str">
        <x:v>Assumption: no separately valued non-operating assets.</x:v>
      </x:c>
      <x:c r="G15" s="92"/>
      <x:c r="H15" s="92"/>
      <x:c r="I15" s="92"/>
      <x:c r="J15" s="92"/>
    </x:row>
    <x:row r="16" ht="28" customHeight="1">
      <x:c r="A16" s="86"/>
      <x:c r="B16" s="86" t="str">
        <x:v>Reported total assets</x:v>
      </x:c>
      <x:c r="C16" s="96" t="n">
        <x:v>12856</x:v>
      </x:c>
      <x:c r="D16" s="86" t="str">
        <x:v>$m</x:v>
      </x:c>
      <x:c r="E16" s="86" t="str">
        <x:v>2026-08-01</x:v>
      </x:c>
      <x:c r="F16" s="92" t="str">
        <x:v>Q2</x:v>
      </x:c>
      <x:c r="G16" s="92"/>
      <x:c r="H16" s="92"/>
      <x:c r="I16" s="92"/>
      <x:c r="J16" s="92"/>
    </x:row>
    <x:row r="17" ht="28" customHeight="1">
      <x:c r="A17" s="86"/>
      <x:c r="B17" s="86" t="str">
        <x:v>Reported total equity</x:v>
      </x:c>
      <x:c r="C17" s="96" t="n">
        <x:v>3951</x:v>
      </x:c>
      <x:c r="D17" s="86" t="str">
        <x:v>$m</x:v>
      </x:c>
      <x:c r="E17" s="86" t="str">
        <x:v>2026-08-01</x:v>
      </x:c>
      <x:c r="F17" s="92" t="str">
        <x:v>Q2</x:v>
      </x:c>
      <x:c r="G17" s="92"/>
      <x:c r="H17" s="92"/>
      <x:c r="I17" s="92"/>
      <x:c r="J17" s="92"/>
    </x:row>
    <x:row r="18" ht="28" customHeight="1">
      <x:c r="A18" s="86"/>
      <x:c r="B18" s="86" t="str">
        <x:v>Operating current assets</x:v>
      </x:c>
      <x:c r="C18" s="96" t="n">
        <x:v>3385</x:v>
      </x:c>
      <x:c r="D18" s="86" t="str">
        <x:v>$m</x:v>
      </x:c>
      <x:c r="E18" s="86" t="str">
        <x:v>2026-08-01</x:v>
      </x:c>
      <x:c r="F18" s="92" t="str">
        <x:v>Q2; excludes cash and short-term investments</x:v>
      </x:c>
      <x:c r="G18" s="92"/>
      <x:c r="H18" s="92"/>
      <x:c r="I18" s="92"/>
      <x:c r="J18" s="92"/>
    </x:row>
    <x:row r="19" ht="28" customHeight="1">
      <x:c r="A19" s="86"/>
      <x:c r="B19" s="86" t="str">
        <x:v>Operating current liabilities</x:v>
      </x:c>
      <x:c r="C19" s="96" t="n">
        <x:v>2603</x:v>
      </x:c>
      <x:c r="D19" s="86" t="str">
        <x:v>$m</x:v>
      </x:c>
      <x:c r="E19" s="86" t="str">
        <x:v>2026-08-01</x:v>
      </x:c>
      <x:c r="F19" s="92" t="str">
        <x:v>Q2; excludes funded debt and leases</x:v>
      </x:c>
      <x:c r="G19" s="92"/>
      <x:c r="H19" s="92"/>
      <x:c r="I19" s="92"/>
      <x:c r="J19" s="92"/>
    </x:row>
    <x:row r="20" ht="28" customHeight="1">
      <x:c r="A20" s="86"/>
      <x:c r="B20" s="86" t="str">
        <x:v>Property and equipment</x:v>
      </x:c>
      <x:c r="C20" s="96" t="n">
        <x:v>2555</x:v>
      </x:c>
      <x:c r="D20" s="86" t="str">
        <x:v>$m</x:v>
      </x:c>
      <x:c r="E20" s="86" t="str">
        <x:v>2026-08-01</x:v>
      </x:c>
      <x:c r="F20" s="92" t="str">
        <x:v>Q2</x:v>
      </x:c>
      <x:c r="G20" s="92"/>
      <x:c r="H20" s="92"/>
      <x:c r="I20" s="92"/>
      <x:c r="J20" s="92"/>
    </x:row>
    <x:row r="21" ht="28" customHeight="1">
      <x:c r="A21" s="86"/>
      <x:c r="B21" s="86" t="str">
        <x:v>Acquired intangibles</x:v>
      </x:c>
      <x:c r="C21" s="96" t="n">
        <x:v>0</x:v>
      </x:c>
      <x:c r="D21" s="86" t="str">
        <x:v>$m</x:v>
      </x:c>
      <x:c r="E21" s="86" t="str">
        <x:v>2026-08-01</x:v>
      </x:c>
      <x:c r="F21" s="92" t="str">
        <x:v>Q2; Gap included in other long-term assets</x:v>
      </x:c>
      <x:c r="G21" s="92"/>
      <x:c r="H21" s="92"/>
      <x:c r="I21" s="92"/>
      <x:c r="J21" s="92"/>
    </x:row>
    <x:row r="22" ht="28" customHeight="1">
      <x:c r="A22" s="86"/>
      <x:c r="B22" s="86" t="str">
        <x:v>Goodwill</x:v>
      </x:c>
      <x:c r="C22" s="96" t="n">
        <x:v>0</x:v>
      </x:c>
      <x:c r="D22" s="86" t="str">
        <x:v>$m</x:v>
      </x:c>
      <x:c r="E22" s="86" t="str">
        <x:v>2026-08-01</x:v>
      </x:c>
      <x:c r="F22" s="92" t="str">
        <x:v>Q2; Gap included in other long-term assets</x:v>
      </x:c>
      <x:c r="G22" s="92"/>
      <x:c r="H22" s="92"/>
      <x:c r="I22" s="92"/>
      <x:c r="J22" s="92"/>
    </x:row>
    <x:row r="23" ht="28" customHeight="1">
      <x:c r="A23" s="86"/>
      <x:c r="B23" s="86" t="str">
        <x:v>Operating lease assets</x:v>
      </x:c>
      <x:c r="C23" s="96" t="n">
        <x:v>3557</x:v>
      </x:c>
      <x:c r="D23" s="86" t="str">
        <x:v>$m</x:v>
      </x:c>
      <x:c r="E23" s="86" t="str">
        <x:v>2026-08-01</x:v>
      </x:c>
      <x:c r="F23" s="92" t="str">
        <x:v>Q2</x:v>
      </x:c>
      <x:c r="G23" s="92"/>
      <x:c r="H23" s="92"/>
      <x:c r="I23" s="92"/>
      <x:c r="J23" s="92"/>
    </x:row>
    <x:row r="24" ht="28" customHeight="1">
      <x:c r="A24" s="86"/>
      <x:c r="B24" s="86" t="str">
        <x:v>Other long-term assets</x:v>
      </x:c>
      <x:c r="C24" s="96" t="n">
        <x:v>874</x:v>
      </x:c>
      <x:c r="D24" s="86" t="str">
        <x:v>$m</x:v>
      </x:c>
      <x:c r="E24" s="86" t="str">
        <x:v>2026-08-01</x:v>
      </x:c>
      <x:c r="F24" s="92" t="str">
        <x:v>Q2; sum of disclosed components</x:v>
      </x:c>
      <x:c r="G24" s="92"/>
      <x:c r="H24" s="92"/>
      <x:c r="I24" s="92"/>
      <x:c r="J24" s="92"/>
    </x:row>
    <x:row r="25" ht="28" customHeight="1">
      <x:c r="A25" s="86"/>
      <x:c r="B25" s="86" t="str">
        <x:v>Operating lease liabilities</x:v>
      </x:c>
      <x:c r="C25" s="96" t="n">
        <x:v>4227</x:v>
      </x:c>
      <x:c r="D25" s="86" t="str">
        <x:v>$m</x:v>
      </x:c>
      <x:c r="E25" s="86" t="str">
        <x:v>2026-08-01</x:v>
      </x:c>
      <x:c r="F25" s="92" t="str">
        <x:v>Q2 current plus noncurrent</x:v>
      </x:c>
      <x:c r="G25" s="92"/>
      <x:c r="H25" s="92"/>
      <x:c r="I25" s="92"/>
      <x:c r="J25" s="92"/>
    </x:row>
    <x:row r="26" ht="28" customHeight="1">
      <x:c r="A26" s="86"/>
      <x:c r="B26" s="86" t="str">
        <x:v>Other long-term liabilities</x:v>
      </x:c>
      <x:c r="C26" s="96" t="n">
        <x:v>582</x:v>
      </x:c>
      <x:c r="D26" s="86" t="str">
        <x:v>$m</x:v>
      </x:c>
      <x:c r="E26" s="86" t="str">
        <x:v>2026-08-01</x:v>
      </x:c>
      <x:c r="F26" s="92" t="str">
        <x:v>Q2</x:v>
      </x:c>
      <x:c r="G26" s="92"/>
      <x:c r="H26" s="92"/>
      <x:c r="I26" s="92"/>
      <x:c r="J26" s="92"/>
    </x:row>
    <x:row r="27" ht="28" customHeight="1">
      <x:c r="A27" s="86"/>
      <x:c r="B27" s="86" t="str">
        <x:v>Minimum operating cash retained</x:v>
      </x:c>
      <x:c r="C27" s="98" t="n">
        <x:v>500</x:v>
      </x:c>
      <x:c r="D27" s="86" t="str">
        <x:v>$m</x:v>
      </x:c>
      <x:c r="E27" s="86" t="str">
        <x:v>Assumption</x:v>
      </x:c>
      <x:c r="F27" s="92" t="str">
        <x:v>Reserve retained in enterprise; only excess cash added to equity</x:v>
      </x:c>
      <x:c r="G27" s="92"/>
      <x:c r="H27" s="92"/>
      <x:c r="I27" s="92"/>
      <x:c r="J27" s="92"/>
    </x:row>
    <x:row r="28" ht="19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 ht="19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 ht="28" customHeight="1">
      <x:c r="A30" s="86"/>
      <x:c r="B30" s="86" t="str">
        <x:v>Latest full-year revenue</x:v>
      </x:c>
      <x:c r="C30" s="96" t="n">
        <x:v>15366</x:v>
      </x:c>
      <x:c r="D30" s="86" t="str">
        <x:v>$m</x:v>
      </x:c>
      <x:c r="E30" s="86" t="str">
        <x:v>FY2025</x:v>
      </x:c>
      <x:c r="F30" s="92" t="str">
        <x:v>FY</x:v>
      </x:c>
      <x:c r="G30" s="92"/>
      <x:c r="H30" s="92"/>
      <x:c r="I30" s="92"/>
      <x:c r="J30" s="92"/>
    </x:row>
    <x:row r="31" ht="28" customHeight="1">
      <x:c r="A31" s="86"/>
      <x:c r="B31" s="86" t="str">
        <x:v>Latest full-year GAAP EBIT</x:v>
      </x:c>
      <x:c r="C31" s="96" t="n">
        <x:v>1115</x:v>
      </x:c>
      <x:c r="D31" s="86" t="str">
        <x:v>$m</x:v>
      </x:c>
      <x:c r="E31" s="86" t="str">
        <x:v>FY2025</x:v>
      </x:c>
      <x:c r="F31" s="92" t="str">
        <x:v>FY</x:v>
      </x:c>
      <x:c r="G31" s="92"/>
      <x:c r="H31" s="92"/>
      <x:c r="I31" s="92"/>
      <x:c r="J31" s="92"/>
    </x:row>
    <x:row r="32" ht="28" customHeight="1">
      <x:c r="A32" s="86"/>
      <x:c r="B32" s="86" t="str">
        <x:v>Latest full-year reported D&amp;A</x:v>
      </x:c>
      <x:c r="C32" s="96" t="n">
        <x:v>496</x:v>
      </x:c>
      <x:c r="D32" s="86" t="str">
        <x:v>$m</x:v>
      </x:c>
      <x:c r="E32" s="86" t="str">
        <x:v>FY2025</x:v>
      </x:c>
      <x:c r="F32" s="92" t="str">
        <x:v>FY</x:v>
      </x:c>
      <x:c r="G32" s="92"/>
      <x:c r="H32" s="92"/>
      <x:c r="I32" s="92"/>
      <x:c r="J32" s="92"/>
    </x:row>
    <x:row r="33" ht="19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</x:row>
    <x:row r="34" ht="28" customHeight="1">
      <x:c r="A34" s="86"/>
      <x:c r="B34" s="86" t="str">
        <x:v>Current first-half capex</x:v>
      </x:c>
      <x:c r="C34" s="96" t="n">
        <x:v>289</x:v>
      </x:c>
      <x:c r="D34" s="86" t="str">
        <x:v>$m</x:v>
      </x:c>
      <x:c r="E34" s="86" t="str">
        <x:v>2026-08-01</x:v>
      </x:c>
      <x:c r="F34" s="92" t="str">
        <x:v>Q2</x:v>
      </x:c>
      <x:c r="G34" s="92"/>
      <x:c r="H34" s="92"/>
      <x:c r="I34" s="92"/>
      <x:c r="J34" s="92"/>
    </x:row>
    <x:row r="35" ht="19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</x:row>
    <x:row r="36" ht="28" customHeight="1">
      <x:c r="A36" s="86"/>
      <x:c r="B36" s="86" t="str">
        <x:v>Current first-half revenue</x:v>
      </x:c>
      <x:c r="C36" s="96" t="n">
        <x:v>7148</x:v>
      </x:c>
      <x:c r="D36" s="86" t="str">
        <x:v>$m</x:v>
      </x:c>
      <x:c r="E36" s="86" t="str">
        <x:v>2026-08-01</x:v>
      </x:c>
      <x:c r="F36" s="92" t="str">
        <x:v>Q2</x:v>
      </x:c>
      <x:c r="G36" s="92"/>
      <x:c r="H36" s="92"/>
      <x:c r="I36" s="92"/>
      <x:c r="J36" s="92"/>
    </x:row>
    <x:row r="37" ht="28" customHeight="1">
      <x:c r="A37" s="86"/>
      <x:c r="B37" s="86" t="str">
        <x:v>Current first-half GAAP EBIT</x:v>
      </x:c>
      <x:c r="C37" s="96" t="n">
        <x:v>1121</x:v>
      </x:c>
      <x:c r="D37" s="86" t="str">
        <x:v>$m</x:v>
      </x:c>
      <x:c r="E37" s="86" t="str">
        <x:v>2026-08-01</x:v>
      </x:c>
      <x:c r="F37" s="92" t="str">
        <x:v>Q2</x:v>
      </x:c>
      <x:c r="G37" s="92"/>
      <x:c r="H37" s="92"/>
      <x:c r="I37" s="92"/>
      <x:c r="J37" s="92"/>
    </x:row>
    <x:row r="38" ht="42" customHeight="1">
      <x:c r="A38" s="86"/>
      <x:c r="B38" s="86" t="str">
        <x:v>Nonrecurring EBIT gains removed</x:v>
      </x:c>
      <x:c r="C38" s="96" t="n">
        <x:v>680</x:v>
      </x:c>
      <x:c r="D38" s="86" t="str">
        <x:v>$m</x:v>
      </x:c>
      <x:c r="E38" s="86" t="str">
        <x:v>2026-08-01</x:v>
      </x:c>
      <x:c r="F38" s="92" t="str">
        <x:v>$417m tariff recovery + $263m net settlement/donation benefit; excluded from recurring forecast</x:v>
      </x:c>
      <x:c r="G38" s="92"/>
      <x:c r="H38" s="92"/>
      <x:c r="I38" s="92"/>
      <x:c r="J38" s="92"/>
    </x:row>
    <x:row r="39" ht="28" customHeight="1">
      <x:c r="A39" s="86"/>
      <x:c r="B39" s="86" t="str">
        <x:v>Prior-year first-half revenue</x:v>
      </x:c>
      <x:c r="C39" s="96" t="n">
        <x:v>7188</x:v>
      </x:c>
      <x:c r="D39" s="86" t="str">
        <x:v>$m</x:v>
      </x:c>
      <x:c r="E39" s="86" t="str">
        <x:v>Prior H1</x:v>
      </x:c>
      <x:c r="F39" s="92" t="str">
        <x:v>Q2</x:v>
      </x:c>
      <x:c r="G39" s="92"/>
      <x:c r="H39" s="92"/>
      <x:c r="I39" s="92"/>
      <x:c r="J39" s="92"/>
    </x:row>
    <x:row r="40" ht="28" customHeight="1">
      <x:c r="A40" s="86"/>
      <x:c r="B40" s="86" t="str">
        <x:v>Prior-year first-half EBIT</x:v>
      </x:c>
      <x:c r="C40" s="96" t="n">
        <x:v>552</x:v>
      </x:c>
      <x:c r="D40" s="86" t="str">
        <x:v>$m</x:v>
      </x:c>
      <x:c r="E40" s="86" t="str">
        <x:v>Prior H1</x:v>
      </x:c>
      <x:c r="F40" s="92" t="str">
        <x:v>Q2</x:v>
      </x:c>
      <x:c r="G40" s="92"/>
      <x:c r="H40" s="92"/>
      <x:c r="I40" s="92"/>
      <x:c r="J40" s="92"/>
    </x:row>
    <x:row r="41" ht="28" customHeight="1">
      <x:c r="A41" s="86"/>
      <x:c r="B41" s="86" t="str">
        <x:v>Current FY revenue planning anchor</x:v>
      </x:c>
      <x:c r="C41" s="96" t="n">
        <x:v>15558.074999999999</x:v>
      </x:c>
      <x:c r="D41" s="86" t="str">
        <x:v>$m</x:v>
      </x:c>
      <x:c r="E41" s="86" t="str">
        <x:v>Current FY</x:v>
      </x:c>
      <x:c r="F41" s="92" t="str">
        <x:v>Revenue growth guidance midpoint: 1.25%</x:v>
      </x:c>
      <x:c r="G41" s="92"/>
      <x:c r="H41" s="92"/>
      <x:c r="I41" s="92"/>
      <x:c r="J41" s="92"/>
    </x:row>
    <x:row r="42" ht="28" customHeight="1">
      <x:c r="A42" s="86"/>
      <x:c r="B42" s="86" t="str">
        <x:v>Current first-half reported D&amp;A</x:v>
      </x:c>
      <x:c r="C42" s="96" t="n">
        <x:v>259</x:v>
      </x:c>
      <x:c r="D42" s="86" t="str">
        <x:v>$m</x:v>
      </x:c>
      <x:c r="E42" s="86" t="str">
        <x:v>2026-08-01</x:v>
      </x:c>
      <x:c r="F42" s="92" t="str">
        <x:v>Q2</x:v>
      </x:c>
      <x:c r="G42" s="92"/>
      <x:c r="H42" s="92"/>
      <x:c r="I42" s="92"/>
      <x:c r="J42" s="92"/>
    </x:row>
    <x:row r="43" ht="28" customHeight="1">
      <x:c r="A43" s="86"/>
      <x:c r="B43" s="86" t="str">
        <x:v>Prior-year first-half reported D&amp;A</x:v>
      </x:c>
      <x:c r="C43" s="96" t="n">
        <x:v>243</x:v>
      </x:c>
      <x:c r="D43" s="86" t="str">
        <x:v>$m</x:v>
      </x:c>
      <x:c r="E43" s="86" t="str">
        <x:v>Prior H1</x:v>
      </x:c>
      <x:c r="F43" s="92" t="str">
        <x:v>Q2</x:v>
      </x:c>
      <x:c r="G43" s="92"/>
      <x:c r="H43" s="92"/>
      <x:c r="I43" s="92"/>
      <x:c r="J43" s="92"/>
    </x:row>
    <x:row r="44" ht="28" customHeight="1">
      <x:c r="A44" s="86"/>
      <x:c r="B44" s="86" t="str">
        <x:v>Year-end operating CA / full-year sales</x:v>
      </x:c>
      <x:c r="C44" s="99" t="n">
        <x:v>0.18059351815696995</x:v>
      </x:c>
      <x:c r="D44" s="86" t="str">
        <x:v>ratio</x:v>
      </x:c>
      <x:c r="E44" s="86" t="str">
        <x:v>Latest FY</x:v>
      </x:c>
      <x:c r="F44" s="92" t="str">
        <x:v>FY; source component ratios</x:v>
      </x:c>
      <x:c r="G44" s="92"/>
      <x:c r="H44" s="92"/>
      <x:c r="I44" s="92"/>
      <x:c r="J44" s="92"/>
    </x:row>
    <x:row r="45" ht="28" customHeight="1">
      <x:c r="A45" s="86"/>
      <x:c r="B45" s="86" t="str">
        <x:v>Year-end operating CL / full-year sales</x:v>
      </x:c>
      <x:c r="C45" s="99" t="n">
        <x:v>0.1734999349212547</x:v>
      </x:c>
      <x:c r="D45" s="86" t="str">
        <x:v>ratio</x:v>
      </x:c>
      <x:c r="E45" s="86" t="str">
        <x:v>Latest FY</x:v>
      </x:c>
      <x:c r="F45" s="92" t="str">
        <x:v>FY; excludes debt and lease liabilities</x:v>
      </x:c>
      <x:c r="G45" s="92"/>
      <x:c r="H45" s="92"/>
      <x:c r="I45" s="92"/>
      <x:c r="J45" s="92"/>
    </x:row>
    <x:row r="46" ht="28" customHeight="1">
      <x:c r="A46" s="86"/>
      <x:c r="B46" s="86" t="str">
        <x:v>Historical annual dividends</x:v>
      </x:c>
      <x:c r="C46" s="96" t="n">
        <x:v>247</x:v>
      </x:c>
      <x:c r="D46" s="86" t="str">
        <x:v>$m</x:v>
      </x:c>
      <x:c r="E46" s="86" t="str">
        <x:v>Latest FY</x:v>
      </x:c>
      <x:c r="F46" s="92" t="str">
        <x:v>FY</x:v>
      </x:c>
      <x:c r="G46" s="92"/>
      <x:c r="H46" s="92"/>
      <x:c r="I46" s="92"/>
      <x:c r="J46" s="92"/>
    </x:row>
    <x:row r="47" ht="28" customHeight="1">
      <x:c r="A47" s="86"/>
      <x:c r="B47" s="86" t="str">
        <x:v>Current first-half services revenue</x:v>
      </x:c>
      <x:c r="C47" s="96" t="n">
        <x:v>0</x:v>
      </x:c>
      <x:c r="D47" s="86" t="str">
        <x:v>$m</x:v>
      </x:c>
      <x:c r="E47" s="86" t="str">
        <x:v>2026-08-01</x:v>
      </x:c>
      <x:c r="F47" s="92" t="str">
        <x:v>Not applicable</x:v>
      </x:c>
      <x:c r="G47" s="92"/>
      <x:c r="H47" s="92"/>
      <x:c r="I47" s="92"/>
      <x:c r="J47" s="92"/>
    </x:row>
    <x:row r="48" ht="28" customHeight="1">
      <x:c r="A48" s="86"/>
      <x:c r="B48" s="86" t="str">
        <x:v>Annual services revenue anchor</x:v>
      </x:c>
      <x:c r="C48" s="96" t="n">
        <x:v>0</x:v>
      </x:c>
      <x:c r="D48" s="86" t="str">
        <x:v>$m</x:v>
      </x:c>
      <x:c r="E48" s="86" t="str">
        <x:v>Current FY</x:v>
      </x:c>
      <x:c r="F48" s="92" t="str">
        <x:v>Not applicable</x:v>
      </x:c>
      <x:c r="G48" s="92"/>
      <x:c r="H48" s="92"/>
      <x:c r="I48" s="92"/>
      <x:c r="J48" s="92"/>
    </x:row>
    <x:row r="49" ht="28" customHeight="1">
      <x:c r="A49" s="86"/>
      <x:c r="B49" s="86" t="str">
        <x:v>Current fiscal year-end</x:v>
      </x:c>
      <x:c r="C49" s="91" t="n">
        <x:v>46417</x:v>
      </x:c>
      <x:c r="D49" s="86" t="str">
        <x:v>date</x:v>
      </x:c>
      <x:c r="E49" s="86" t="str">
        <x:v>2027-01-30</x:v>
      </x:c>
      <x:c r="F49" s="92" t="str">
        <x:v>Model calendar</x:v>
      </x:c>
      <x:c r="G49" s="92"/>
      <x:c r="H49" s="92"/>
      <x:c r="I49" s="92"/>
      <x:c r="J49" s="92"/>
    </x:row>
    <x:row r="50" ht="28" customHeight="1">
      <x:c r="A50" s="86"/>
      <x:c r="B50" s="86" t="str">
        <x:v>Cash yield assumption</x:v>
      </x:c>
      <x:c r="C50" s="101" t="n">
        <x:v>0.03</x:v>
      </x:c>
      <x:c r="D50" s="86" t="str">
        <x:v>ratio</x:v>
      </x:c>
      <x:c r="E50" s="86" t="str">
        <x:v>Assumption</x:v>
      </x:c>
      <x:c r="F50" s="92" t="str">
        <x:v>Cash yield assumption</x:v>
      </x:c>
      <x:c r="G50" s="92"/>
      <x:c r="H50" s="92"/>
      <x:c r="I50" s="92"/>
      <x:c r="J50" s="92"/>
    </x:row>
    <x:row r="51" ht="28" customHeight="1">
      <x:c r="A51" s="86"/>
      <x:c r="B51" s="86" t="str">
        <x:v>Intangible amortization life</x:v>
      </x:c>
      <x:c r="C51" s="98" t="n">
        <x:v>4</x:v>
      </x:c>
      <x:c r="D51" s="86" t="str">
        <x:v>years</x:v>
      </x:c>
      <x:c r="E51" s="86" t="str">
        <x:v>Assumption</x:v>
      </x:c>
      <x:c r="F51" s="92" t="str">
        <x:v>Existing balance amortized over four years; goodwill is never amortized</x:v>
      </x:c>
      <x:c r="G51" s="92"/>
      <x:c r="H51" s="92"/>
      <x:c r="I51" s="92"/>
      <x:c r="J51" s="92"/>
    </x:row>
    <x:row r="52" ht="42" customHeight="1">
      <x:c r="A52" s="86"/>
      <x:c r="B52" s="86" t="str">
        <x:v>SBC already in baseline margin</x:v>
      </x:c>
      <x:c r="C52" s="99" t="n">
        <x:v>0.0105</x:v>
      </x:c>
      <x:c r="D52" s="86" t="str">
        <x:v>ratio</x:v>
      </x:c>
      <x:c r="E52" s="86" t="str">
        <x:v>Fixed baseline</x:v>
      </x:c>
      <x:c r="F52" s="92" t="str">
        <x:v>Economic expense embedded in the starting margin; scenario SBC changes are measured against this baseline.</x:v>
      </x:c>
      <x:c r="G52" s="92"/>
      <x:c r="H52" s="92"/>
      <x:c r="I52" s="92"/>
      <x:c r="J52" s="92"/>
    </x:row>
    <x:row r="53" ht="28" customHeight="1">
      <x:c r="A53" s="86"/>
      <x:c r="B53" s="86" t="str">
        <x:v>Balance and share-count basis</x:v>
      </x:c>
      <x:c r="C53" s="98" t="n">
        <x:v>0</x:v>
      </x:c>
      <x:c r="D53" s="86" t="str">
        <x:v>0 or 1</x:v>
      </x:c>
      <x:c r="E53" s="86" t="str">
        <x:v>Assumption</x:v>
      </x:c>
      <x:c r="F53" s="92" t="str">
        <x:v>0 = report-date balances and average shares; 1 = supplied valuation-date inputs</x:v>
      </x:c>
      <x:c r="G53" s="92"/>
      <x:c r="H53" s="92"/>
      <x:c r="I53" s="92"/>
      <x:c r="J53" s="92"/>
    </x:row>
    <x:row r="54" ht="28" customHeight="1">
      <x:c r="A54" s="86"/>
      <x:c r="B54" s="86" t="str">
        <x:v>Peer reference basis</x:v>
      </x:c>
      <x:c r="C54" s="98" t="n">
        <x:v>0</x:v>
      </x:c>
      <x:c r="D54" s="86" t="str">
        <x:v>0 or 1</x:v>
      </x:c>
      <x:c r="E54" s="86" t="str">
        <x:v>Assumption</x:v>
      </x:c>
      <x:c r="F54" s="92" t="str">
        <x:v>0 = peer reference assumptions; 1 = supplied comparable-company analysis</x:v>
      </x:c>
      <x:c r="G54" s="92"/>
      <x:c r="H54" s="92"/>
      <x:c r="I54" s="92"/>
      <x:c r="J54" s="92"/>
    </x:row>
    <x:row r="55" ht="42" customHeight="1">
      <x:c r="A55" s="86"/>
      <x:c r="B55" s="86" t="str">
        <x:v>Cash-flow timing basis</x:v>
      </x:c>
      <x:c r="C55" s="98" t="n">
        <x:v>0</x:v>
      </x:c>
      <x:c r="D55" s="86" t="str">
        <x:v>0 or 1</x:v>
      </x:c>
      <x:c r="E55" s="86" t="str">
        <x:v>Assumption</x:v>
      </x:c>
      <x:c r="F55" s="92" t="str">
        <x:v>0 = even H2 allocation; 1 = supplied monthly cash-flow basis</x:v>
      </x:c>
      <x:c r="G55" s="92"/>
      <x:c r="H55" s="92"/>
      <x:c r="I55" s="92"/>
      <x:c r="J55" s="92"/>
    </x:row>
    <x:row r="56" ht="42" customHeight="1">
      <x:c r="A56" s="86"/>
      <x:c r="B56" s="86" t="str">
        <x:v>Refinancing basis</x:v>
      </x:c>
      <x:c r="C56" s="98" t="n">
        <x:v>0</x:v>
      </x:c>
      <x:c r="D56" s="86" t="str">
        <x:v>0 or 1</x:v>
      </x:c>
      <x:c r="E56" s="86" t="str">
        <x:v>Assumption</x:v>
      </x:c>
      <x:c r="F56" s="92" t="str">
        <x:v>0 = debt held flat except entered changes; 1 = supplied refinancing basis</x:v>
      </x:c>
      <x:c r="G56" s="92"/>
      <x:c r="H56" s="92"/>
      <x:c r="I56" s="92"/>
      <x:c r="J56" s="92"/>
    </x:row>
    <x:row r="57" ht="42" customHeight="1">
      <x:c r="A57" s="86"/>
      <x:c r="B57" s="86" t="str">
        <x:v>Pending-deal revenue excluded</x:v>
      </x:c>
      <x:c r="C57" s="96" t="n">
        <x:v>0</x:v>
      </x:c>
      <x:c r="D57" s="86" t="str">
        <x:v>$m</x:v>
      </x:c>
      <x:c r="E57" s="86" t="str">
        <x:v>Current FY</x:v>
      </x:c>
      <x:c r="F57" s="92" t="str">
        <x:v>No pending-acquisition revenue adjustment.</x:v>
      </x:c>
      <x:c r="G57" s="92"/>
      <x:c r="H57" s="92"/>
      <x:c r="I57" s="92"/>
      <x:c r="J57" s="92"/>
    </x:row>
    <x:row r="58" ht="24" customHeight="1">
      <x:c r="A58" s="86"/>
      <x:c r="B58" s="103" t="str">
        <x:v>Calculated bridges</x:v>
      </x:c>
      <x:c r="C58" s="103"/>
      <x:c r="D58" s="103"/>
      <x:c r="E58" s="103"/>
      <x:c r="F58" s="103"/>
      <x:c r="G58" s="103"/>
      <x:c r="H58" s="103"/>
      <x:c r="I58" s="103"/>
      <x:c r="J58" s="103"/>
    </x:row>
    <x:row r="59" ht="19" customHeight="1">
      <x:c r="A59" s="86"/>
      <x:c r="B59" s="86" t="str">
        <x:v>Available cash + short-term investments</x:v>
      </x:c>
      <x:c r="C59" s="104" t="n">
        <x:f>'Verified Inputs'!$C$10+'Verified Inputs'!$C$11+'Verified Inputs'!$C$14</x:f>
        <x:v>2485</x:v>
      </x:c>
      <x:c r="D59" s="86"/>
      <x:c r="E59" s="86"/>
      <x:c r="F59" s="86"/>
      <x:c r="G59" s="86"/>
      <x:c r="H59" s="86"/>
      <x:c r="I59" s="86"/>
      <x:c r="J59" s="86"/>
    </x:row>
    <x:row r="60" ht="19" customHeight="1">
      <x:c r="A60" s="86"/>
      <x:c r="B60" s="86" t="str">
        <x:v>Excess cash credited to equity</x:v>
      </x:c>
      <x:c r="C60" s="104" t="n">
        <x:f>MAX(0,C59-'Verified Inputs'!$C$27)</x:f>
        <x:v>1985</x:v>
      </x:c>
      <x:c r="D60" s="86"/>
      <x:c r="E60" s="86"/>
      <x:c r="F60" s="86"/>
      <x:c r="G60" s="86"/>
      <x:c r="H60" s="86"/>
      <x:c r="I60" s="86"/>
      <x:c r="J60" s="86"/>
    </x:row>
    <x:row r="61" ht="19" customHeight="1">
      <x:c r="A61" s="86"/>
      <x:c r="B61" s="86" t="str">
        <x:v>Funded debt including adjustments</x:v>
      </x:c>
      <x:c r="C61" s="104" t="n">
        <x:f>'Verified Inputs'!$C$12+'Verified Inputs'!$C$13</x:f>
        <x:v>1493</x:v>
      </x:c>
      <x:c r="D61" s="86"/>
      <x:c r="E61" s="86"/>
      <x:c r="F61" s="86"/>
      <x:c r="G61" s="86"/>
      <x:c r="H61" s="86"/>
      <x:c r="I61" s="86"/>
      <x:c r="J61" s="86"/>
    </x:row>
    <x:row r="62" ht="19" customHeight="1">
      <x:c r="A62" s="86"/>
      <x:c r="B62" s="86" t="str">
        <x:v>Net debt after excess cash</x:v>
      </x:c>
      <x:c r="C62" s="96" t="n">
        <x:f>C61-C60</x:f>
        <x:v>-492</x:v>
      </x:c>
      <x:c r="D62" s="86"/>
      <x:c r="E62" s="86"/>
      <x:c r="F62" s="86"/>
      <x:c r="G62" s="86"/>
      <x:c r="H62" s="86"/>
      <x:c r="I62" s="86"/>
      <x:c r="J62" s="86"/>
    </x:row>
    <x:row r="63" ht="19" customHeight="1">
      <x:c r="A63" s="86"/>
      <x:c r="B63" s="86" t="str">
        <x:v>Market equity for WACC</x:v>
      </x:c>
      <x:c r="C63" s="104" t="n">
        <x:f>'Verified Inputs'!$C$7*'Verified Inputs'!$C$9</x:f>
        <x:v>7962.65</x:v>
      </x:c>
      <x:c r="D63" s="86"/>
      <x:c r="E63" s="86"/>
      <x:c r="F63" s="86"/>
      <x:c r="G63" s="86"/>
      <x:c r="H63" s="86"/>
      <x:c r="I63" s="86"/>
      <x:c r="J63" s="86"/>
    </x:row>
    <x:row r="64" ht="19" customHeight="1">
      <x:c r="A64" s="86"/>
      <x:c r="B64" s="86" t="str">
        <x:v>LTM revenue</x:v>
      </x:c>
      <x:c r="C64" s="104" t="n">
        <x:f>'Verified Inputs'!$C$30+'Verified Inputs'!$C$36-'Verified Inputs'!$C$39</x:f>
        <x:v>15326</x:v>
      </x:c>
      <x:c r="D64" s="86"/>
      <x:c r="E64" s="86"/>
      <x:c r="F64" s="86"/>
      <x:c r="G64" s="86"/>
      <x:c r="H64" s="86"/>
      <x:c r="I64" s="86"/>
      <x:c r="J64" s="86"/>
    </x:row>
    <x:row r="65" ht="19" customHeight="1">
      <x:c r="A65" s="86"/>
      <x:c r="B65" s="86" t="str">
        <x:v>Normalized LTM EBIT</x:v>
      </x:c>
      <x:c r="C65" s="104" t="n">
        <x:f>'Verified Inputs'!$C$31+'Verified Inputs'!$C$37-'Verified Inputs'!$C$38-'Verified Inputs'!$C$40</x:f>
        <x:v>1004</x:v>
      </x:c>
      <x:c r="D65" s="86"/>
      <x:c r="E65" s="86"/>
      <x:c r="F65" s="86"/>
      <x:c r="G65" s="86"/>
      <x:c r="H65" s="86"/>
      <x:c r="I65" s="86"/>
      <x:c r="J65" s="86"/>
    </x:row>
    <x:row r="66" ht="19" customHeight="1">
      <x:c r="A66" s="86"/>
      <x:c r="B66" s="86" t="str">
        <x:v>Reported LTM D&amp;A</x:v>
      </x:c>
      <x:c r="C66" s="104" t="n">
        <x:f>'Verified Inputs'!$C$32+'Verified Inputs'!$C$42-'Verified Inputs'!$C$43</x:f>
        <x:v>512</x:v>
      </x:c>
      <x:c r="D66" s="86"/>
      <x:c r="E66" s="86"/>
      <x:c r="F66" s="86"/>
      <x:c r="G66" s="86"/>
      <x:c r="H66" s="86"/>
      <x:c r="I66" s="86"/>
      <x:c r="J66" s="86"/>
    </x:row>
    <x:row r="67" ht="19" customHeight="1">
      <x:c r="A67" s="86"/>
      <x:c r="B67" s="86" t="str">
        <x:v>Opening asset reconstruction</x:v>
      </x:c>
      <x:c r="C67" s="104" t="n">
        <x:f>'Verified Inputs'!$C$10+'Verified Inputs'!$C$11+'Verified Inputs'!$C$18+SUM(C20:C24)</x:f>
        <x:v>12856</x:v>
      </x:c>
      <x:c r="D67" s="86"/>
      <x:c r="E67" s="86"/>
      <x:c r="F67" s="86"/>
      <x:c r="G67" s="86"/>
      <x:c r="H67" s="86"/>
      <x:c r="I67" s="86"/>
      <x:c r="J67" s="86"/>
    </x:row>
    <x:row r="68" ht="19" customHeight="1">
      <x:c r="A68" s="86"/>
      <x:c r="B68" s="86" t="str">
        <x:v>Opening liabilities + equity</x:v>
      </x:c>
      <x:c r="C68" s="104" t="n">
        <x:f>'Verified Inputs'!$C$19+'Verified Inputs'!$C$12+'Verified Inputs'!$C$25+'Verified Inputs'!$C$26+'Verified Inputs'!$C$17</x:f>
        <x:v>12856</x:v>
      </x:c>
      <x:c r="D68" s="86"/>
      <x:c r="E68" s="86"/>
      <x:c r="F68" s="86"/>
      <x:c r="G68" s="86"/>
      <x:c r="H68" s="86"/>
      <x:c r="I68" s="86"/>
      <x:c r="J68" s="86"/>
    </x:row>
    <x:row r="69" ht="19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</x:row>
    <x:row r="70" ht="19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</x:row>
    <x:row r="71" ht="19" customHeight="1">
      <x:c r="A71" s="86"/>
      <x:c r="B71" s="105" t="str">
        <x:v>Q2 source: https://gapinc-prod-a6bndyfubmc5d9ey.z03.azurefd.net/gapmedia/gapcorporatesite/media/images/brand/gap-inc/q2-2026-epr-fs.pdf</x:v>
      </x:c>
      <x:c r="C71" s="105"/>
      <x:c r="D71" s="105"/>
      <x:c r="E71" s="105"/>
      <x:c r="F71" s="105"/>
      <x:c r="G71" s="105"/>
      <x:c r="H71" s="105"/>
      <x:c r="I71" s="105"/>
      <x:c r="J71" s="105"/>
    </x:row>
    <x:row r="72" ht="19" customHeight="1">
      <x:c r="A72" s="86"/>
      <x:c r="B72" s="105"/>
      <x:c r="C72" s="105"/>
      <x:c r="D72" s="105"/>
      <x:c r="E72" s="105"/>
      <x:c r="F72" s="105"/>
      <x:c r="G72" s="105"/>
      <x:c r="H72" s="105"/>
      <x:c r="I72" s="105"/>
      <x:c r="J72" s="105"/>
    </x:row>
    <x:row r="73" ht="19" customHeight="1">
      <x:c r="A73" s="86"/>
      <x:c r="B73" s="105"/>
      <x:c r="C73" s="105"/>
      <x:c r="D73" s="105"/>
      <x:c r="E73" s="105"/>
      <x:c r="F73" s="105"/>
      <x:c r="G73" s="105"/>
      <x:c r="H73" s="105"/>
      <x:c r="I73" s="105"/>
      <x:c r="J73" s="105"/>
    </x:row>
    <x:row r="74" ht="19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</x:row>
    <x:row r="75" ht="19" customHeight="1">
      <x:c r="A75" s="86"/>
      <x:c r="B75" s="105" t="str">
        <x:v>FY source: https://gapinc-prod-a6bndyfubmc5d9ey.z03.azurefd.net/gapmedia/gapcorporatesite/media/images/brand/gap-inc/q4-2025-epr-fs_1.pdf</x:v>
      </x:c>
      <x:c r="C75" s="105"/>
      <x:c r="D75" s="105"/>
      <x:c r="E75" s="105"/>
      <x:c r="F75" s="105"/>
      <x:c r="G75" s="105"/>
      <x:c r="H75" s="105"/>
      <x:c r="I75" s="105"/>
      <x:c r="J75" s="105"/>
    </x:row>
    <x:row r="76" ht="19" customHeight="1">
      <x:c r="A76" s="86"/>
      <x:c r="B76" s="105"/>
      <x:c r="C76" s="105"/>
      <x:c r="D76" s="105"/>
      <x:c r="E76" s="105"/>
      <x:c r="F76" s="105"/>
      <x:c r="G76" s="105"/>
      <x:c r="H76" s="105"/>
      <x:c r="I76" s="105"/>
      <x:c r="J76" s="105"/>
    </x:row>
    <x:row r="77" ht="19" customHeight="1">
      <x:c r="A77" s="86"/>
      <x:c r="B77" s="105"/>
      <x:c r="C77" s="105"/>
      <x:c r="D77" s="105"/>
      <x:c r="E77" s="105"/>
      <x:c r="F77" s="105"/>
      <x:c r="G77" s="105"/>
      <x:c r="H77" s="105"/>
      <x:c r="I77" s="105"/>
      <x:c r="J77" s="105"/>
    </x:row>
    <x:row r="78" ht="19" customHeight="1">
      <x:c r="A78" s="86"/>
      <x:c r="B78" s="86"/>
      <x:c r="C78" s="86"/>
      <x:c r="D78" s="86"/>
      <x:c r="E78" s="86"/>
      <x:c r="F78" s="86"/>
      <x:c r="G78" s="86"/>
      <x:c r="H78" s="86"/>
      <x:c r="I78" s="86"/>
      <x:c r="J78" s="86"/>
    </x:row>
    <x:row r="79" ht="19" customHeight="1">
      <x:c r="A79" s="86"/>
      <x:c r="B79" s="86"/>
      <x:c r="C79" s="86"/>
      <x:c r="D79" s="86"/>
      <x:c r="E79" s="86"/>
      <x:c r="F79" s="86"/>
      <x:c r="G79" s="86"/>
      <x:c r="H79" s="86"/>
      <x:c r="I79" s="86"/>
      <x:c r="J79" s="86"/>
    </x:row>
  </x:sheetData>
  <x:mergeCells>
    <x:mergeCell ref="A1:J1"/>
    <x:mergeCell ref="A2:J3"/>
    <x:mergeCell ref="F5:J5"/>
    <x:mergeCell ref="F6:J6"/>
    <x:mergeCell ref="F7:J7"/>
    <x:mergeCell ref="F8:J8"/>
    <x:mergeCell ref="F9:J9"/>
    <x:mergeCell ref="F10:J10"/>
    <x:mergeCell ref="F11:J11"/>
    <x:mergeCell ref="F12:J12"/>
    <x:mergeCell ref="F13:J13"/>
    <x:mergeCell ref="F14:J14"/>
    <x:mergeCell ref="F15:J15"/>
    <x:mergeCell ref="F16:J16"/>
    <x:mergeCell ref="F17:J17"/>
    <x:mergeCell ref="F18:J18"/>
    <x:mergeCell ref="F19:J19"/>
    <x:mergeCell ref="F20:J20"/>
    <x:mergeCell ref="F21:J21"/>
    <x:mergeCell ref="F22:J22"/>
    <x:mergeCell ref="F23:J23"/>
    <x:mergeCell ref="F24:J24"/>
    <x:mergeCell ref="F25:J25"/>
    <x:mergeCell ref="F26:J26"/>
    <x:mergeCell ref="F27:J27"/>
    <x:mergeCell ref="F30:J30"/>
    <x:mergeCell ref="F31:J31"/>
    <x:mergeCell ref="F32:J32"/>
    <x:mergeCell ref="F34:J34"/>
    <x:mergeCell ref="F36:J36"/>
    <x:mergeCell ref="F37:J37"/>
    <x:mergeCell ref="F38:J38"/>
    <x:mergeCell ref="F39:J39"/>
    <x:mergeCell ref="F40:J40"/>
    <x:mergeCell ref="F41:J41"/>
    <x:mergeCell ref="F42:J42"/>
    <x:mergeCell ref="F43:J43"/>
    <x:mergeCell ref="F44:J44"/>
    <x:mergeCell ref="F45:J45"/>
    <x:mergeCell ref="F46:J46"/>
    <x:mergeCell ref="F47:J47"/>
    <x:mergeCell ref="F48:J48"/>
    <x:mergeCell ref="F49:J49"/>
    <x:mergeCell ref="F50:J50"/>
    <x:mergeCell ref="F51:J51"/>
    <x:mergeCell ref="F52:J52"/>
    <x:mergeCell ref="F53:J53"/>
    <x:mergeCell ref="F54:J54"/>
    <x:mergeCell ref="F55:J55"/>
    <x:mergeCell ref="F56:J56"/>
    <x:mergeCell ref="F57:J57"/>
    <x:mergeCell ref="B58:J58"/>
    <x:mergeCell ref="B71:J73"/>
    <x:mergeCell ref="B75:J77"/>
  </x:mergeCells>
  <x:pageMargins left="0.7" right="0.7" top="0.75" bottom="0.75" header="0.3" footer="0.3"/>
  <x:legacyDrawing xmlns:r="http://schemas.openxmlformats.org/officeDocument/2006/relationships" r:id="Raea9b7a1e4f4489d"/>
</x:worksheet>
</file>