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2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.xml" ContentType="application/vnd.ms-excel.threaded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771401c08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7077bd8ccd54150"/>
    <x:sheet xmlns:r="http://schemas.openxmlformats.org/officeDocument/2006/relationships" name="Valuation Summary" sheetId="2" r:id="R75c0b30ab11b4a5f"/>
    <x:sheet xmlns:r="http://schemas.openxmlformats.org/officeDocument/2006/relationships" name="Assumptions" sheetId="3" r:id="R8e0d5541f68e4d62"/>
    <x:sheet xmlns:r="http://schemas.openxmlformats.org/officeDocument/2006/relationships" name="Historical Financials" sheetId="4" r:id="R8ab55c541b13471f"/>
    <x:sheet xmlns:r="http://schemas.openxmlformats.org/officeDocument/2006/relationships" name="Operating Forecast" sheetId="5" r:id="R03f3914da6994c5d"/>
    <x:sheet xmlns:r="http://schemas.openxmlformats.org/officeDocument/2006/relationships" name="KPIs &amp; SBC-FCF" sheetId="6" r:id="Rb46d2c485a0f4fd4"/>
    <x:sheet xmlns:r="http://schemas.openxmlformats.org/officeDocument/2006/relationships" name="Trading Comps" sheetId="7" r:id="Rce01724c222d446d"/>
    <x:sheet xmlns:r="http://schemas.openxmlformats.org/officeDocument/2006/relationships" name="DCF" sheetId="8" r:id="Re5f120585c594cbf"/>
    <x:sheet xmlns:r="http://schemas.openxmlformats.org/officeDocument/2006/relationships" name="Transactions" sheetId="9" r:id="R394de84a944d456e"/>
    <x:sheet xmlns:r="http://schemas.openxmlformats.org/officeDocument/2006/relationships" name="Sum-of-the-Parts" sheetId="10" r:id="Re168d480122f4931"/>
    <x:sheet xmlns:r="http://schemas.openxmlformats.org/officeDocument/2006/relationships" name="Acquisition Returns" sheetId="11" r:id="Rf723d70160584328"/>
    <x:sheet xmlns:r="http://schemas.openxmlformats.org/officeDocument/2006/relationships" name="Sensitivities" sheetId="12" r:id="R367eb69e21b04498"/>
    <x:sheet xmlns:r="http://schemas.openxmlformats.org/officeDocument/2006/relationships" name="Sources &amp; Adjustments" sheetId="13" r:id="R0a5870d580424b15"/>
    <x:sheet xmlns:r="http://schemas.openxmlformats.org/officeDocument/2006/relationships" name="Checks" sheetId="14" r:id="Rf24f8d4302c84e5c"/>
    <x:sheet xmlns:r="http://schemas.openxmlformats.org/officeDocument/2006/relationships" name="Verified Inputs" sheetId="15" r:id="R2d5d3658d31845bf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C5" authorId="0">
      <x:text>
        <x:r>
          <x:t>FY2027 revenue guidance $46.1–46.4bn; midpoint used as the Year-1 anchor.</x:t>
        </x:r>
      </x:text>
    </x:comment>
    <x:comment ref="C22" authorId="0">
      <x:text>
        <x:r>
          <x:t>Interest on Jan-2026 funded debt ($14.4bn) less income on cash. The DCF bridge separately uses market net debt (~$31bn) post-Informatica.</x:t>
        </x:r>
      </x:text>
    </x:comment>
    <x:comment ref="C62" authorId="0">
      <x:text>
        <x:r>
          <x:t>SBC added back in equity roll because it is a non-cash equity issuance; its dilution is captured in the share count and its expense is already in net income.</x:t>
        </x:r>
      </x:text>
    </x:comment>
  </x:commentList>
</x:comments>
</file>

<file path=xl/comments2.xml><?xml version="1.0" encoding="utf-8"?>
<x:comments xmlns:x="http://schemas.openxmlformats.org/spreadsheetml/2006/main">
  <x:authors>
    <x:author>Unknown Author</x:author>
  </x:authors>
  <x:commentList>
    <x:comment ref="D17" authorId="0">
      <x:text>
        <x:r>
          <x:t>CRM ~18.9x EV/EBITDA sits between value peers (ADBE/INTU ~11-13x) and growth peers (NOW/HUBS 50x+). Nearest true peers: ORCL, SAP.</x:t>
        </x:r>
      </x:text>
    </x:comment>
  </x:commentList>
</x:comments>
</file>

<file path=xl/comments3.xml><?xml version="1.0" encoding="utf-8"?>
<x:comments xmlns:x="http://schemas.openxmlformats.org/spreadsheetml/2006/main">
  <x:authors>
    <x:author>tc={2C0B45AE-AC6A-48C9-835E-5A2C7779FF00}</x:author>
    <x:author>tc={117C1C6B-1787-4F19-A199-5EC55BC2CD80}</x:author>
    <x:author>tc={2F92BD09-F3AC-4331-A226-9CC55BB27703}</x:author>
    <x:author>tc={65FAC4B4-4655-4E36-9BCE-D382C8BCAADC}</x:author>
    <x:author>tc={10F89077-3673-4B00-BD63-191CD0344FDC}</x:author>
    <x:author>tc={DC0A8CE9-41F5-4E3E-8710-3FEA920B7EBD}</x:author>
    <x:author>tc={1B96ECC7-38C7-4ADE-88D1-0130BB9E7BD2}</x:author>
    <x:author>tc={106D2CC3-562C-4F88-98C2-0C9065F278E2}</x:author>
    <x:author>tc={36B7CFA4-8AE1-4B80-BFC2-56EB97AABDDA}</x:author>
    <x:author>tc={B7655D57-6AFB-480F-93D8-EF3600E630C7}</x:author>
    <x:author>tc={ED62341E-0CB5-4426-9A15-72B0593B49E9}</x:author>
    <x:author>tc={EB09110B-B383-4B6C-B02D-F00C34865DD7}</x:author>
    <x:author>tc={6DDF1407-D726-46E7-A808-F4B71C9941AC}</x:author>
    <x:author>tc={A5882AA5-FEDF-4DA3-AA2B-231892FE9F7B}</x:author>
    <x:author>tc={A9FF49CD-AE67-4B9D-B7EA-F5639F772742}</x:author>
    <x:author>tc={E2587C65-B9F4-44E3-9B49-D852B988EFEE}</x:author>
    <x:author>tc={3843545F-D9FE-4977-9DDC-4633E6827E0D}</x:author>
    <x:author>tc={D8382329-C248-4FBF-9955-7B7D0B76CF52}</x:author>
    <x:author>tc={F6E16B4A-56B8-4E56-9869-A8B051FFF382}</x:author>
    <x:author>tc={02449D83-0CC2-4AB4-BF72-FBA64522835F}</x:author>
    <x:author>tc={F245C0E5-CB13-4159-B9A8-9782E2471498}</x:author>
  </x:authors>
  <x:commentList>
    <x:comment ref="C10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1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2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8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19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0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1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2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3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4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5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26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34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36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37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3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4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42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  <x:comment ref="C43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https://investor.salesforce.com/news/news-details/2026/Salesforce-Delivers-Record-Second-Quarter-Fiscal-2027-Results/default.aspx
Period: 2026-07-31; USD millions. Component aggregations are described beside the value.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<x:sst xmlns:x="http://schemas.openxmlformats.org/spreadsheetml/2006/main">
  <x:si>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HISTORICAL FINANCIALS — Reported</x:t>
  </x:si>
  <x:si>
    <x:t xml:space="preserve">Five fiscal years (income &amp; cash flow); balance sheet FY2025–FY2026. Tied to 10-K filings.</x:t>
  </x:si>
  <x:si>
    <x:t xml:space="preserve">Income statement</x:t>
  </x:si>
  <x:si>
    <x:t xml:space="preserve">($ in millions)</x:t>
  </x:si>
  <x:si>
    <x:t xml:space="preserve">FY2022</x:t>
  </x:si>
  <x:si>
    <x:t xml:space="preserve">FY2023</x:t>
  </x:si>
  <x:si>
    <x:t xml:space="preserve">FY2024</x:t>
  </x:si>
  <x:si>
    <x:t xml:space="preserve">FY2025</x:t>
  </x:si>
  <x:si>
    <x:t xml:space="preserve">FY2026</x:t>
  </x:si>
  <x:si>
    <x:t xml:space="preserve">1/31/22</x:t>
  </x:si>
  <x:si>
    <x:t xml:space="preserve">1/31/23</x:t>
  </x:si>
  <x:si>
    <x:t xml:space="preserve">1/31/24</x:t>
  </x:si>
  <x:si>
    <x:t xml:space="preserve">1/31/25</x:t>
  </x:si>
  <x:si>
    <x:t xml:space="preserve">1/31/26</x:t>
  </x:si>
  <x:si>
    <x:t xml:space="preserve">Total revenue</x:t>
  </x:si>
  <x:si>
    <x:t xml:space="preserve">      Subscription &amp; support</x:t>
  </x:si>
  <x:si>
    <x:t xml:space="preserve">      Professional services &amp; other</x:t>
  </x:si>
  <x:si>
    <x:t xml:space="preserve">Gross profit</x:t>
  </x:si>
  <x:si>
    <x:t xml:space="preserve">   Gross margin %</x:t>
  </x:si>
  <x:si>
    <x:t xml:space="preserve">Operating income (GAAP)</x:t>
  </x:si>
  <x:si>
    <x:t xml:space="preserve">   Operating margin %</x:t>
  </x:si>
  <x:si>
    <x:t xml:space="preserve">Stock-based compensation (memo)</x:t>
  </x:si>
  <x:si>
    <x:t xml:space="preserve">Net income (GAAP)</x:t>
  </x:si>
  <x:si>
    <x:t xml:space="preserve">Diluted EPS ($)</x:t>
  </x:si>
  <x:si>
    <x:t xml:space="preserve">Cash flow (selected)</x:t>
  </x:si>
  <x:si>
    <x:t xml:space="preserve">Operating cash flow</x:t>
  </x:si>
  <x:si>
    <x:t xml:space="preserve">Capital expenditures</x:t>
  </x:si>
  <x:si>
    <x:t xml:space="preserve">Free cash flow (company def.)</x:t>
  </x:si>
  <x:si>
    <x:t xml:space="preserve">Stock-based compensation</x:t>
  </x:si>
  <x:si>
    <x:t xml:space="preserve">Share repurchases</x:t>
  </x:si>
  <x:si>
    <x:t xml:space="preserve">Dividends paid</x:t>
  </x:si>
  <x:si>
    <x:t xml:space="preserve">Balance sheet (fiscal year-end)</x:t>
  </x:si>
  <x:si>
    <x:t xml:space="preserve">Cash &amp; equivalents</x:t>
  </x:si>
  <x:si>
    <x:t xml:space="preserve">Short-term investments</x:t>
  </x:si>
  <x:si>
    <x:t xml:space="preserve">Total current assets</x:t>
  </x:si>
  <x:si>
    <x:t xml:space="preserve">Goodwill &amp; intangibles</x:t>
  </x:si>
  <x:si>
    <x:t xml:space="preserve">Total assets</x:t>
  </x:si>
  <x:si>
    <x:t xml:space="preserve">Current debt</x:t>
  </x:si>
  <x:si>
    <x:t xml:space="preserve">Long-term debt</x:t>
  </x:si>
  <x:si>
    <x:t xml:space="preserve">Operating lease liab (curr+LT)</x:t>
  </x:si>
  <x:si>
    <x:t xml:space="preserve">Total liabilities</x:t>
  </x:si>
  <x:si>
    <x:t xml:space="preserve">Total stockholders' equity</x:t>
  </x:si>
  <x:si>
    <x:t xml:space="preserve">Check: Assets − (Liab+Equity)</x:t>
  </x:si>
</x:sst>
</file>

<file path=xl/styles.xml><?xml version="1.0" encoding="utf-8"?>
<x:styleSheet xmlns:x="http://schemas.openxmlformats.org/spreadsheetml/2006/main">
  <x:numFmts count="17">
    <x:numFmt numFmtId="164" formatCode="General"/>
    <x:numFmt numFmtId="165" formatCode="\$#,##0.00;&quot;($&quot;#,##0.00\);\-"/>
    <x:numFmt numFmtId="166" formatCode="\$#,##0;&quot;($&quot;#,##0\);\-"/>
    <x:numFmt numFmtId="167" formatCode="0"/>
    <x:numFmt numFmtId="168" formatCode="0.0%;\(0.0%\);\-"/>
    <x:numFmt numFmtId="169" formatCode="#,##0.0"/>
    <x:numFmt numFmtId="170" formatCode="0.00"/>
    <x:numFmt numFmtId="171" formatCode="0.0\x;\(0.0&quot;x)&quot;;\-"/>
    <x:numFmt numFmtId="172" formatCode="0.000"/>
    <x:numFmt numFmtId="173" formatCode="\$#,##0.0;&quot;($&quot;#,##0.0\);\-"/>
    <x:numFmt numFmtId="174" formatCode="0.00\x"/>
    <x:numFmt numFmtId="200" formatCode="mmm d, yyyy"/>
    <x:numFmt numFmtId="201" formatCode="$0.00;($0.00);&quot;—&quot;"/>
    <x:numFmt numFmtId="202" formatCode="#,##0;(#,##0);&quot;—&quot;"/>
    <x:numFmt numFmtId="203" formatCode="0.0%;(0.0%);&quot;—&quot;"/>
    <x:numFmt numFmtId="204" formatCode="0.0&quot;x&quot;"/>
    <x:numFmt numFmtId="205" formatCode="0.0000"/>
  </x:numFmts>
  <x:fonts count="40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FFFFFF"/>
      <x:name val="Arial"/>
    </x:font>
    <x:font>
      <x:i/>
      <x:sz val="9"/>
      <x:color rgb="FFB8860B"/>
      <x:name val="Arial"/>
    </x:font>
    <x:font>
      <x:b/>
      <x:sz val="12"/>
      <x:color rgb="FF1A1A17"/>
      <x:name val="Arial"/>
    </x:font>
    <x:font>
      <x:sz val="10"/>
      <x:color rgb="FF1A1A17"/>
      <x:name val="Arial"/>
    </x:font>
    <x:font>
      <x:b/>
      <x:sz val="10"/>
      <x:color rgb="FF1A1A17"/>
      <x:name val="Arial"/>
    </x:font>
    <x:font>
      <x:b/>
      <x:sz val="10"/>
      <x:color rgb="FF0000FF"/>
      <x:name val="Arial"/>
    </x:font>
    <x:font>
      <x:b/>
      <x:sz val="10"/>
      <x:color rgb="FF000000"/>
      <x:name val="Arial"/>
    </x:font>
    <x:font>
      <x:b/>
      <x:sz val="10"/>
      <x:color rgb="FF008000"/>
      <x:name val="Arial"/>
    </x:font>
    <x:font>
      <x:b/>
      <x:sz val="10"/>
      <x:color rgb="FFFF0000"/>
      <x:name val="Arial"/>
    </x:font>
    <x:font>
      <x:i/>
      <x:sz val="9"/>
      <x:color rgb="FFFF0000"/>
      <x:name val="Arial"/>
    </x:font>
    <x:font>
      <x:b/>
      <x:sz val="11"/>
      <x:color rgb="FF1A1A17"/>
      <x:name val="Arial"/>
    </x:font>
    <x:font>
      <x:sz val="10"/>
      <x:color rgb="FF008000"/>
      <x:name val="Arial"/>
    </x:font>
    <x:font>
      <x:sz val="9"/>
      <x:color rgb="FF1A1A17"/>
      <x:name val="Arial"/>
    </x:font>
    <x:font>
      <x:sz val="10"/>
      <x:color rgb="FF0000FF"/>
      <x:name val="Arial"/>
    </x:font>
    <x:font>
      <x:b/>
      <x:sz val="11"/>
      <x:color rgb="FFB8860B"/>
      <x:name val="Arial"/>
    </x:font>
    <x:font>
      <x:b/>
      <x:sz val="18"/>
      <x:color rgb="FF000000"/>
      <x:name val="Calibri"/>
    </x:font>
    <x:font>
      <x:sz val="10"/>
      <x:color rgb="FF000000"/>
      <x:name val="Calibri"/>
    </x:font>
    <x:font>
      <x:b/>
      <x:sz val="10"/>
      <x:color rgb="FFB8860B"/>
      <x:name val="Arial"/>
    </x:font>
    <x:font>
      <x:i/>
      <x:sz val="8"/>
      <x:color rgb="FF1A1A17"/>
      <x:name val="Arial"/>
    </x:font>
    <x:font>
      <x:sz val="10"/>
      <x:color rgb="FF000000"/>
      <x:name val="Arial"/>
    </x:font>
    <x:font>
      <x:i/>
      <x:sz val="10"/>
      <x:color rgb="FF1A1A17"/>
      <x:name val="Arial"/>
    </x:font>
    <x:font>
      <x:i/>
      <x:sz val="9"/>
      <x:color rgb="FF1A1A17"/>
      <x:name val="Arial"/>
    </x:font>
    <x:font>
      <x:sz val="10"/>
      <x:color rgb="FFFF0000"/>
      <x:name val="Arial"/>
    </x:font>
    <x:font>
      <x:i/>
      <x:sz val="10"/>
      <x:color rgb="FF000000"/>
      <x:name val="Arial"/>
    </x:font>
    <x:font>
      <x:i/>
      <x:sz val="8"/>
      <x:color rgb="FFFF0000"/>
      <x:name val="Arial"/>
    </x:font>
    <x:font>
      <x:sz val="10"/>
      <x:name val="Arial"/>
    </x:font>
    <x:font>
      <x:sz val="9"/>
      <x:color rgb="FFFF0000"/>
      <x:name val="Arial"/>
    </x:font>
    <x:font>
      <x:b/>
      <x:sz val="10"/>
      <x:name val="Arial"/>
    </x:font>
    <x:font>
      <x:b/>
      <x:sz val="9"/>
      <x:color rgb="FF1A1A17"/>
      <x:name val="Arial"/>
    </x:font>
    <x:font>
      <x:b/>
      <x:sz val="11"/>
      <x:color rgb="FF008000"/>
      <x:name val="Arial"/>
    </x:font>
    <x:font>
      <x:sz val="10"/>
      <x:color rgb="FFB8860B"/>
      <x:name val="Arial"/>
    </x:font>
    <x:font>
      <x:i/>
      <x:sz val="10"/>
      <x:color rgb="FFB8860B"/>
      <x:name val="Arial"/>
    </x:font>
    <x:font>
      <x:b/>
      <x:i/>
      <x:sz val="10"/>
      <x:color rgb="FF1A1A17"/>
      <x:name val="Arial"/>
    </x:font>
    <x:font>
      <x:sz val="11"/>
      <x:color rgb="FF1A1A17"/>
      <x:name val="Calibri"/>
    </x:font>
    <x:font>
      <x:i/>
      <x:sz val="10"/>
      <x:color rgb="FF008000"/>
      <x:name val="Arial"/>
    </x:font>
    <x:font>
      <x:b/>
      <x:i/>
      <x:sz val="10"/>
      <x:color rgb="FF008000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E2A22"/>
      </x:patternFill>
    </x:fill>
    <x:fill>
      <x:patternFill patternType="solid">
        <x:fgColor rgb="FFFDF7EE"/>
      </x:patternFill>
    </x:fill>
    <x:fill>
      <x:patternFill patternType="solid">
        <x:fgColor rgb="FFEFE6D2"/>
      </x:patternFill>
    </x:fill>
    <x:fill>
      <x:patternFill patternType="solid">
        <x:fgColor rgb="FFFFF2A8"/>
      </x:patternFill>
    </x:fill>
    <x:fill>
      <x:patternFill patternType="solid">
        <x:fgColor rgb="FFF3E6C4"/>
      </x:patternFill>
    </x:fill>
    <x:fill>
      <x:patternFill patternType="solid">
        <x:fgColor rgb="FFFDF7EE"/>
      </x:patternFill>
    </x:fill>
    <x:fill>
      <x:patternFill patternType="solid">
        <x:fgColor rgb="FF2E2A22"/>
      </x:patternFill>
    </x:fill>
    <x:fill>
      <x:patternFill patternType="solid">
        <x:fgColor rgb="FFFFF2CC"/>
      </x:patternFill>
    </x:fill>
    <x:fill>
      <x:patternFill patternType="solid">
        <x:fgColor rgb="FFEFE6D2"/>
      </x:patternFill>
    </x:fill>
  </x:fills>
  <x:borders count="2">
    <x:border diagonalUp="0" diagonalDown="0"/>
    <x:border diagonalUp="0" diagonalDown="0">
      <x:top style="thin">
        <x:color rgb="FF1A1A17"/>
      </x:top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08">
    <x:xf numFmtId="164" fontId="0" fillId="0" borderId="0" xfId="0" applyFont="0" applyBorder="0" applyAlignment="0">
      <x:alignment horizontal="general" vertical="bottom" wrapText="0"/>
    </x:xf>
    <x:xf numFmtId="164" fontId="4" fillId="2" borderId="0" xfId="0" applyFont="1" applyBorder="1" applyAlignment="1">
      <x:alignment horizontal="left" vertical="center" wrapText="0"/>
    </x:xf>
    <x:xf numFmtId="164" fontId="0" fillId="3" borderId="0" xfId="0" applyFont="0" applyBorder="0" applyAlignment="0">
      <x:alignment horizontal="general" vertical="bottom" wrapText="0"/>
    </x:xf>
    <x:xf numFmtId="164" fontId="5" fillId="3" borderId="0" xfId="0" applyFont="1" applyBorder="1" applyAlignment="0">
      <x:alignment horizontal="general" vertical="bottom" wrapText="0"/>
    </x:xf>
    <x:xf numFmtId="164" fontId="6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top" wrapText="1"/>
    </x:xf>
    <x:xf numFmtId="164" fontId="8" fillId="3" borderId="0" xfId="0" applyFont="1" applyBorder="0" applyAlignment="0">
      <x:alignment horizontal="general" vertical="bottom" wrapText="0"/>
    </x:xf>
    <x:xf numFmtId="164" fontId="7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center" wrapText="0"/>
    </x:xf>
    <x:xf numFmtId="164" fontId="9" fillId="3" borderId="0" xfId="0" applyFont="1" applyBorder="0" applyAlignment="0">
      <x:alignment horizontal="general" vertical="bottom" wrapText="0"/>
    </x:xf>
    <x:xf numFmtId="164" fontId="10" fillId="3" borderId="0" xfId="0" applyFont="1" applyBorder="0" applyAlignment="0">
      <x:alignment horizontal="general" vertical="bottom" wrapText="0"/>
    </x:xf>
    <x:xf numFmtId="164" fontId="11" fillId="3" borderId="0" xfId="0" applyFont="1" applyBorder="0" applyAlignment="0">
      <x:alignment horizontal="general" vertical="bottom" wrapText="0"/>
    </x:xf>
    <x:xf numFmtId="164" fontId="12" fillId="3" borderId="0" xfId="0" applyFont="1" applyBorder="0" applyAlignment="0">
      <x:alignment horizontal="general" vertical="bottom" wrapText="0"/>
    </x:xf>
    <x:xf numFmtId="164" fontId="5" fillId="3" borderId="0" xfId="0" applyFont="1" applyBorder="1" applyAlignment="1">
      <x:alignment horizontal="left" vertical="top" wrapText="1"/>
    </x:xf>
    <x:xf numFmtId="164" fontId="13" fillId="3" borderId="0" xfId="0" applyFont="1" applyBorder="1" applyAlignment="1">
      <x:alignment horizontal="left" vertical="top" wrapText="1"/>
    </x:xf>
    <x:xf numFmtId="164" fontId="14" fillId="4" borderId="0" xfId="0" applyFont="1" applyBorder="1" applyAlignment="0">
      <x:alignment horizontal="general" vertical="bottom" wrapText="0"/>
    </x:xf>
    <x:xf numFmtId="164" fontId="8" fillId="3" borderId="0" xfId="0" applyFont="1" applyBorder="0" applyAlignment="1">
      <x:alignment horizontal="right" vertical="center" wrapText="0"/>
    </x:xf>
    <x:xf numFmtId="165" fontId="15" fillId="3" borderId="0" xfId="0" applyFont="1" applyBorder="0" applyAlignment="1">
      <x:alignment horizontal="right" vertical="center" wrapText="0"/>
    </x:xf>
    <x:xf numFmtId="165" fontId="8" fillId="3" borderId="0" xfId="0" applyFont="1" applyBorder="0" applyAlignment="1">
      <x:alignment horizontal="right" vertical="center" wrapText="0"/>
    </x:xf>
    <x:xf numFmtId="165" fontId="16" fillId="3" borderId="0" xfId="0" applyFont="1" applyBorder="0" applyAlignment="1">
      <x:alignment horizontal="right" vertical="center" wrapText="0"/>
    </x:xf>
    <x:xf numFmtId="165" fontId="17" fillId="3" borderId="0" xfId="0" applyFont="1" applyBorder="0" applyAlignment="1">
      <x:alignment horizontal="right" vertical="center" wrapText="0"/>
    </x:xf>
    <x:xf numFmtId="165" fontId="7" fillId="3" borderId="0" xfId="0" applyFont="1" applyBorder="0" applyAlignment="1">
      <x:alignment horizontal="right" vertical="center" wrapText="0"/>
    </x:xf>
    <x:xf numFmtId="165" fontId="18" fillId="3" borderId="0" xfId="0" applyFont="1" applyBorder="0" applyAlignment="1">
      <x:alignment horizontal="right" vertical="center" wrapText="0"/>
    </x:xf>
    <x:xf numFmtId="166" fontId="15" fillId="3" borderId="0" xfId="0" applyFont="1" applyBorder="0" applyAlignment="1">
      <x:alignment horizontal="right" vertical="center" wrapText="0"/>
    </x:xf>
    <x:xf numFmtId="164" fontId="16" fillId="3" borderId="0" xfId="0" applyFont="1" applyBorder="1" applyAlignment="1">
      <x:alignment horizontal="left" vertical="top" wrapText="1"/>
    </x:xf>
    <x:xf numFmtId="167" fontId="9" fillId="5" borderId="0" xfId="0" applyFont="1" applyBorder="0" applyAlignment="1">
      <x:alignment horizontal="right" vertical="center" wrapText="0"/>
    </x:xf>
    <x:xf numFmtId="164" fontId="21" fillId="3" borderId="0" xfId="0" applyFont="1" applyBorder="0" applyAlignment="1">
      <x:alignment horizontal="right" vertical="center" wrapText="0"/>
    </x:xf>
    <x:xf numFmtId="168" fontId="17" fillId="3" borderId="0" xfId="0" applyFont="1" applyBorder="0" applyAlignment="1">
      <x:alignment horizontal="right" vertical="center" wrapText="0"/>
    </x:xf>
    <x:xf numFmtId="168" fontId="8" fillId="3" borderId="0" xfId="0" applyFont="1" applyBorder="0" applyAlignment="1">
      <x:alignment horizontal="right" vertical="center" wrapText="0"/>
    </x:xf>
    <x:xf numFmtId="164" fontId="22" fillId="3" borderId="0" xfId="0" applyFont="1" applyBorder="0" applyAlignment="0">
      <x:alignment horizontal="general" vertical="bottom" wrapText="0"/>
    </x:xf>
    <x:xf numFmtId="166" fontId="17" fillId="3" borderId="0" xfId="0" applyFont="1" applyBorder="0" applyAlignment="1">
      <x:alignment horizontal="right" vertical="center" wrapText="0"/>
    </x:xf>
    <x:xf numFmtId="166" fontId="8" fillId="3" borderId="0" xfId="0" applyFont="1" applyBorder="0" applyAlignment="1">
      <x:alignment horizontal="right" vertical="center" wrapText="0"/>
    </x:xf>
    <x:xf numFmtId="169" fontId="17" fillId="3" borderId="0" xfId="0" applyFont="1" applyBorder="0" applyAlignment="1">
      <x:alignment horizontal="right" vertical="center" wrapText="0"/>
    </x:xf>
    <x:xf numFmtId="170" fontId="17" fillId="3" borderId="0" xfId="0" applyFont="1" applyBorder="0" applyAlignment="1">
      <x:alignment horizontal="right" vertical="center" wrapText="0"/>
    </x:xf>
    <x:xf numFmtId="171" fontId="17" fillId="3" borderId="0" xfId="0" applyFont="1" applyBorder="0" applyAlignment="1">
      <x:alignment horizontal="right" vertical="center" wrapText="0"/>
    </x:xf>
    <x:xf numFmtId="167" fontId="17" fillId="3" borderId="0" xfId="0" applyFont="1" applyBorder="0" applyAlignment="1">
      <x:alignment horizontal="right" vertical="center" wrapText="0"/>
    </x:xf>
    <x:xf numFmtId="164" fontId="22" fillId="3" borderId="0" xfId="0" applyFont="1" applyBorder="0" applyAlignment="1">
      <x:alignment horizontal="right" vertical="center" wrapText="0"/>
    </x:xf>
    <x:xf numFmtId="166" fontId="10" fillId="3" borderId="0" xfId="0" applyFont="1" applyBorder="0" applyAlignment="1">
      <x:alignment horizontal="right" vertical="center" wrapText="0"/>
    </x:xf>
    <x:xf numFmtId="166" fontId="23" fillId="3" borderId="0" xfId="0" applyFont="1" applyBorder="0" applyAlignment="1">
      <x:alignment horizontal="right" vertical="center" wrapText="0"/>
    </x:xf>
    <x:xf numFmtId="164" fontId="24" fillId="3" borderId="0" xfId="0" applyFont="1" applyBorder="0" applyAlignment="0">
      <x:alignment horizontal="general" vertical="bottom" wrapText="0"/>
    </x:xf>
    <x:xf numFmtId="168" fontId="25" fillId="3" borderId="0" xfId="0" applyFont="1" applyBorder="0" applyAlignment="1">
      <x:alignment horizontal="right" vertical="center" wrapText="0"/>
    </x:xf>
    <x:xf numFmtId="166" fontId="26" fillId="3" borderId="0" xfId="0" applyFont="1" applyBorder="0" applyAlignment="1">
      <x:alignment horizontal="right" vertical="center" wrapText="0"/>
    </x:xf>
    <x:xf numFmtId="165" fontId="23" fillId="3" borderId="0" xfId="0" applyFont="1" applyBorder="0" applyAlignment="1">
      <x:alignment horizontal="right" vertical="center" wrapText="0"/>
    </x:xf>
    <x:xf numFmtId="168" fontId="27" fillId="3" borderId="0" xfId="0" applyFont="1" applyBorder="0" applyAlignment="1">
      <x:alignment horizontal="right" vertical="center" wrapText="0"/>
    </x:xf>
    <x:xf numFmtId="166" fontId="27" fillId="3" borderId="0" xfId="0" applyFont="1" applyBorder="0" applyAlignment="1">
      <x:alignment horizontal="right" vertical="center" wrapText="0"/>
    </x:xf>
    <x:xf numFmtId="169" fontId="10" fillId="3" borderId="0" xfId="0" applyFont="1" applyBorder="0" applyAlignment="1">
      <x:alignment horizontal="right" vertical="center" wrapText="0"/>
    </x:xf>
    <x:xf numFmtId="169" fontId="23" fillId="3" borderId="0" xfId="0" applyFont="1" applyBorder="0" applyAlignment="1">
      <x:alignment horizontal="right" vertical="center" wrapText="0"/>
    </x:xf>
    <x:xf numFmtId="166" fontId="11" fillId="3" borderId="0" xfId="0" applyFont="1" applyBorder="0" applyAlignment="1">
      <x:alignment horizontal="right" vertical="center" wrapText="0"/>
    </x:xf>
    <x:xf numFmtId="164" fontId="28" fillId="3" borderId="0" xfId="0" applyFont="1" applyBorder="0" applyAlignment="0">
      <x:alignment horizontal="general" vertical="bottom" wrapText="0"/>
    </x:xf>
    <x:xf numFmtId="168" fontId="15" fillId="3" borderId="0" xfId="0" applyFont="1" applyBorder="0" applyAlignment="1">
      <x:alignment horizontal="right" vertical="center" wrapText="0"/>
    </x:xf>
    <x:xf numFmtId="164" fontId="25" fillId="3" borderId="0" xfId="0" applyFont="1" applyBorder="1" applyAlignment="1">
      <x:alignment horizontal="left" vertical="top" wrapText="1"/>
    </x:xf>
    <x:xf numFmtId="164" fontId="8" fillId="3" borderId="0" xfId="0" applyFont="1" applyBorder="0" applyAlignment="1">
      <x:alignment horizontal="left" vertical="center" wrapText="0"/>
    </x:xf>
    <x:xf numFmtId="171" fontId="8" fillId="3" borderId="0" xfId="0" applyFont="1" applyBorder="0" applyAlignment="1">
      <x:alignment horizontal="right" vertical="center" wrapText="0"/>
    </x:xf>
    <x:xf numFmtId="164" fontId="21" fillId="3" borderId="0" xfId="0" applyFont="1" applyBorder="0" applyAlignment="0">
      <x:alignment horizontal="general" vertical="bottom" wrapText="0"/>
    </x:xf>
    <x:xf numFmtId="171" fontId="23" fillId="3" borderId="0" xfId="0" applyFont="1" applyBorder="0" applyAlignment="1">
      <x:alignment horizontal="right" vertical="center" wrapText="0"/>
    </x:xf>
    <x:xf numFmtId="165" fontId="10" fillId="6" borderId="0" xfId="0" applyFont="1" applyBorder="0" applyAlignment="1">
      <x:alignment horizontal="right" vertical="center" wrapText="0"/>
    </x:xf>
    <x:xf numFmtId="170" fontId="15" fillId="3" borderId="0" xfId="0" applyFont="1" applyBorder="0" applyAlignment="1">
      <x:alignment horizontal="right" vertical="center" wrapText="0"/>
    </x:xf>
    <x:xf numFmtId="168" fontId="10" fillId="3" borderId="0" xfId="0" applyFont="1" applyBorder="0" applyAlignment="1">
      <x:alignment horizontal="right" vertical="center" wrapText="0"/>
    </x:xf>
    <x:xf numFmtId="168" fontId="23" fillId="3" borderId="0" xfId="0" applyFont="1" applyBorder="0" applyAlignment="1">
      <x:alignment horizontal="right" vertical="center" wrapText="0"/>
    </x:xf>
    <x:xf numFmtId="168" fontId="10" fillId="6" borderId="0" xfId="0" applyFont="1" applyBorder="0" applyAlignment="1">
      <x:alignment horizontal="right" vertical="center" wrapText="0"/>
    </x:xf>
    <x:xf numFmtId="170" fontId="7" fillId="3" borderId="0" xfId="0" applyFont="1" applyBorder="0" applyAlignment="1">
      <x:alignment horizontal="right" vertical="center" wrapText="0"/>
    </x:xf>
    <x:xf numFmtId="172" fontId="7" fillId="3" borderId="0" xfId="0" applyFont="1" applyBorder="0" applyAlignment="1">
      <x:alignment horizontal="right" vertical="center" wrapText="0"/>
    </x:xf>
    <x:xf numFmtId="164" fontId="11" fillId="3" borderId="0" xfId="0" applyFont="1" applyBorder="0" applyAlignment="1">
      <x:alignment horizontal="right" vertical="center" wrapText="0"/>
    </x:xf>
    <x:xf numFmtId="166" fontId="10" fillId="6" borderId="0" xfId="0" applyFont="1" applyBorder="0" applyAlignment="1">
      <x:alignment horizontal="right" vertical="center" wrapText="0"/>
    </x:xf>
    <x:xf numFmtId="171" fontId="15" fillId="3" borderId="0" xfId="0" applyFont="1" applyBorder="0" applyAlignment="1">
      <x:alignment horizontal="right" vertical="center" wrapText="0"/>
    </x:xf>
    <x:xf numFmtId="164" fontId="16" fillId="3" borderId="0" xfId="0" applyFont="1" applyBorder="0" applyAlignment="0">
      <x:alignment horizontal="general" vertical="bottom" wrapText="0"/>
    </x:xf>
    <x:xf numFmtId="173" fontId="17" fillId="3" borderId="0" xfId="0" applyFont="1" applyBorder="0" applyAlignment="1">
      <x:alignment horizontal="right" vertical="center" wrapText="0"/>
    </x:xf>
    <x:xf numFmtId="164" fontId="13" fillId="3" borderId="0" xfId="0" applyFont="1" applyBorder="0" applyAlignment="1">
      <x:alignment horizontal="right" vertical="center" wrapText="0"/>
    </x:xf>
    <x:xf numFmtId="164" fontId="30" fillId="3" borderId="0" xfId="0" applyFont="1" applyBorder="0" applyAlignment="0">
      <x:alignment horizontal="general" vertical="bottom" wrapText="0"/>
    </x:xf>
    <x:xf numFmtId="164" fontId="22" fillId="3" borderId="0" xfId="0" applyFont="1" applyBorder="1" applyAlignment="1">
      <x:alignment horizontal="left" vertical="top" wrapText="1"/>
    </x:xf>
    <x:xf numFmtId="164" fontId="26" fillId="3" borderId="0" xfId="0" applyFont="1" applyBorder="1" applyAlignment="1">
      <x:alignment horizontal="left" vertical="top" wrapText="1"/>
    </x:xf>
    <x:xf numFmtId="166" fontId="31" fillId="3" borderId="0" xfId="0" applyFont="1" applyBorder="0" applyAlignment="1">
      <x:alignment horizontal="right" vertical="center" wrapText="0"/>
    </x:xf>
    <x:xf numFmtId="171" fontId="31" fillId="3" borderId="0" xfId="0" applyFont="1" applyBorder="0" applyAlignment="1">
      <x:alignment horizontal="right" vertical="center" wrapText="0"/>
    </x:xf>
    <x:xf numFmtId="166" fontId="7" fillId="3" borderId="0" xfId="0" applyFont="1" applyBorder="0" applyAlignment="1">
      <x:alignment horizontal="right" vertical="center" wrapText="0"/>
    </x:xf>
    <x:xf numFmtId="174" fontId="31" fillId="3" borderId="0" xfId="0" applyFont="1" applyBorder="0" applyAlignment="1">
      <x:alignment horizontal="right" vertical="center" wrapText="0"/>
    </x:xf>
    <x:xf numFmtId="168" fontId="31" fillId="6" borderId="0" xfId="0" applyFont="1" applyBorder="0" applyAlignment="1">
      <x:alignment horizontal="right" vertical="center" wrapText="0"/>
    </x:xf>
    <x:xf numFmtId="165" fontId="31" fillId="6" borderId="0" xfId="0" applyFont="1" applyBorder="0" applyAlignment="1">
      <x:alignment horizontal="right" vertical="center" wrapText="0"/>
    </x:xf>
    <x:xf numFmtId="168" fontId="9" fillId="3" borderId="0" xfId="0" applyFont="1" applyBorder="0" applyAlignment="1">
      <x:alignment horizontal="right" vertical="center" wrapText="0"/>
    </x:xf>
    <x:xf numFmtId="171" fontId="9" fillId="3" borderId="0" xfId="0" applyFont="1" applyBorder="0" applyAlignment="1">
      <x:alignment horizontal="right" vertical="center" wrapText="0"/>
    </x:xf>
    <x:xf numFmtId="164" fontId="13" fillId="3" borderId="0" xfId="0" applyFont="1" applyBorder="0" applyAlignment="0">
      <x:alignment horizontal="general" vertical="bottom" wrapText="0"/>
    </x:xf>
    <x:xf numFmtId="164" fontId="22" fillId="3" borderId="0" xfId="0" applyFont="1" applyBorder="0" applyAlignment="1">
      <x:alignment horizontal="left" vertical="top" wrapText="1"/>
    </x:xf>
    <x:xf numFmtId="164" fontId="32" fillId="3" borderId="0" xfId="0" applyFont="1" applyBorder="0" applyAlignment="0">
      <x:alignment horizontal="general" vertical="bottom" wrapText="0"/>
    </x:xf>
    <x:xf numFmtId="164" fontId="28" fillId="3" borderId="0" xfId="0" applyFont="1" applyBorder="1" applyAlignment="0">
      <x:alignment horizontal="general" vertical="bottom" wrapText="0"/>
    </x:xf>
    <x:xf numFmtId="168" fontId="7" fillId="3" borderId="0" xfId="0" applyFont="1" applyBorder="0" applyAlignment="1">
      <x:alignment horizontal="right" vertical="center" wrapText="0"/>
    </x:xf>
    <x:xf numFmtId="169" fontId="7" fillId="3" borderId="0" xfId="0" applyFont="1" applyBorder="0" applyAlignment="1">
      <x:alignment horizontal="right" vertical="center" wrapText="0"/>
    </x:xf>
    <x:xf numFmtId="164" fontId="33" fillId="3" borderId="0" xfId="0" applyFont="1" applyBorder="0" applyAlignment="1">
      <x:alignment horizontal="right" vertical="center" wrapText="0"/>
    </x:xf>
    <x:xf numFmtId="164" fontId="25" fillId="3" borderId="0" xfId="0" applyFont="1" applyBorder="0" applyAlignment="0">
      <x:alignment horizontal="general" vertical="bottom" wrapText="0"/>
    </x:xf>
    <x:xf numFmtId="164" fontId="0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0"/>
    </x:xf>
    <x:xf numFmtId="164" fontId="7" fillId="8" borderId="0" xfId="0" applyNumberFormat="1" applyFont="1" applyFill="1" applyBorder="1" applyAlignment="1">
      <x:alignment horizontal="general" vertical="bottom" wrapText="0"/>
    </x:xf>
    <x:xf numFmtId="164" fontId="4" fillId="8" borderId="0" xfId="0" applyNumberFormat="1" applyFont="1" applyFill="1" applyBorder="1" applyAlignment="1">
      <x:alignment horizontal="general" vertical="bottom" wrapText="0"/>
    </x:xf>
    <x:xf numFmtId="164" fontId="34" fillId="7" borderId="0" xfId="0" applyNumberFormat="1" applyFont="1" applyFill="1" applyBorder="1" applyAlignment="1">
      <x:alignment horizontal="general" vertical="bottom" wrapText="0"/>
    </x:xf>
    <x:xf numFmtId="164" fontId="34" fillId="7" borderId="0" xfId="0" applyNumberFormat="1" applyFont="1" applyFill="1" applyBorder="1" applyAlignment="1">
      <x:alignment horizontal="general" vertical="bottom" wrapText="1"/>
    </x:xf>
    <x:xf numFmtId="200" fontId="7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1"/>
    </x:xf>
    <x:xf numFmtId="201" fontId="7" fillId="7" borderId="0" xfId="0" applyNumberFormat="1" applyFont="1" applyFill="1" applyBorder="1" applyAlignment="1">
      <x:alignment horizontal="general" vertical="bottom" wrapText="0"/>
    </x:xf>
    <x:xf numFmtId="201" fontId="17" fillId="7" borderId="0" xfId="0" applyNumberFormat="1" applyFont="1" applyFill="1" applyBorder="1" applyAlignment="1">
      <x:alignment horizontal="general" vertical="bottom" wrapText="0"/>
    </x:xf>
    <x:xf numFmtId="201" fontId="17" fillId="9" borderId="0" xfId="0" applyNumberFormat="1" applyFont="1" applyFill="1" applyBorder="1" applyAlignment="1">
      <x:alignment horizontal="general" vertical="bottom" wrapText="0"/>
    </x:xf>
    <x:xf numFmtId="202" fontId="7" fillId="7" borderId="0" xfId="0" applyNumberFormat="1" applyFont="1" applyFill="1" applyBorder="1" applyAlignment="1">
      <x:alignment horizontal="general" vertical="bottom" wrapText="0"/>
    </x:xf>
    <x:xf numFmtId="202" fontId="17" fillId="7" borderId="0" xfId="0" applyNumberFormat="1" applyFont="1" applyFill="1" applyBorder="1" applyAlignment="1">
      <x:alignment horizontal="general" vertical="bottom" wrapText="0"/>
    </x:xf>
    <x:xf numFmtId="202" fontId="17" fillId="9" borderId="0" xfId="0" applyNumberFormat="1" applyFont="1" applyFill="1" applyBorder="1" applyAlignment="1">
      <x:alignment horizontal="general" vertical="bottom" wrapText="0"/>
    </x:xf>
    <x:xf numFmtId="203" fontId="7" fillId="7" borderId="0" xfId="0" applyNumberFormat="1" applyFont="1" applyFill="1" applyBorder="1" applyAlignment="1">
      <x:alignment horizontal="general" vertical="bottom" wrapText="0"/>
    </x:xf>
    <x:xf numFmtId="203" fontId="17" fillId="7" borderId="0" xfId="0" applyNumberFormat="1" applyFont="1" applyFill="1" applyBorder="1" applyAlignment="1">
      <x:alignment horizontal="general" vertical="bottom" wrapText="0"/>
    </x:xf>
    <x:xf numFmtId="203" fontId="17" fillId="9" borderId="0" xfId="0" applyNumberFormat="1" applyFont="1" applyFill="1" applyBorder="1" applyAlignment="1">
      <x:alignment horizontal="general" vertical="bottom" wrapText="0"/>
    </x:xf>
    <x:xf numFmtId="164" fontId="7" fillId="10" borderId="0" xfId="0" applyNumberFormat="1" applyFont="1" applyFill="1" applyBorder="1" applyAlignment="1">
      <x:alignment horizontal="general" vertical="bottom" wrapText="0"/>
    </x:xf>
    <x:xf numFmtId="164" fontId="8" fillId="10" borderId="0" xfId="0" applyNumberFormat="1" applyFont="1" applyFill="1" applyBorder="1" applyAlignment="1">
      <x:alignment horizontal="general" vertical="bottom" wrapText="0"/>
    </x:xf>
    <x:xf numFmtId="202" fontId="15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top" wrapText="1"/>
    </x:xf>
    <x:xf numFmtId="164" fontId="4" fillId="7" borderId="0" xfId="0" applyNumberFormat="1" applyFont="1" applyFill="1" applyBorder="1" applyAlignment="1">
      <x:alignment horizontal="left" vertical="center" wrapText="0"/>
    </x:xf>
    <x:xf numFmtId="164" fontId="5" fillId="7" borderId="0" xfId="0" applyNumberFormat="1" applyFont="1" applyFill="1" applyBorder="1" applyAlignment="1">
      <x:alignment horizontal="general" vertical="bottom" wrapText="0"/>
    </x:xf>
    <x:xf numFmtId="164" fontId="14" fillId="7" borderId="0" xfId="0" applyNumberFormat="1" applyFont="1" applyFill="1" applyBorder="1" applyAlignment="1">
      <x:alignment horizontal="general" vertical="bottom" wrapText="0"/>
    </x:xf>
    <x:xf numFmtId="164" fontId="8" fillId="7" borderId="0" xfId="0" applyNumberFormat="1" applyFont="1" applyFill="1" applyBorder="1" applyAlignment="1">
      <x:alignment horizontal="general" vertical="bottom" wrapText="0"/>
    </x:xf>
    <x:xf numFmtId="167" fontId="9" fillId="7" borderId="0" xfId="0" applyNumberFormat="1" applyFont="1" applyFill="1" applyBorder="1" applyAlignment="1">
      <x:alignment horizontal="right" vertical="center" wrapText="0"/>
    </x:xf>
    <x:xf numFmtId="164" fontId="21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right" vertical="center" wrapText="0"/>
    </x:xf>
    <x:xf numFmtId="168" fontId="17" fillId="7" borderId="0" xfId="0" applyNumberFormat="1" applyFont="1" applyFill="1" applyBorder="1" applyAlignment="1">
      <x:alignment horizontal="right" vertical="center" wrapText="0"/>
    </x:xf>
    <x:xf numFmtId="168" fontId="8" fillId="7" borderId="0" xfId="0" applyNumberFormat="1" applyFont="1" applyFill="1" applyBorder="1" applyAlignment="1">
      <x:alignment horizontal="right" vertical="center" wrapText="0"/>
    </x:xf>
    <x:xf numFmtId="164" fontId="22" fillId="7" borderId="0" xfId="0" applyNumberFormat="1" applyFont="1" applyFill="1" applyBorder="1" applyAlignment="1">
      <x:alignment horizontal="general" vertical="bottom" wrapText="0"/>
    </x:xf>
    <x:xf numFmtId="166" fontId="17" fillId="7" borderId="0" xfId="0" applyNumberFormat="1" applyFont="1" applyFill="1" applyBorder="1" applyAlignment="1">
      <x:alignment horizontal="right" vertical="center" wrapText="0"/>
    </x:xf>
    <x:xf numFmtId="166" fontId="8" fillId="7" borderId="0" xfId="0" applyNumberFormat="1" applyFont="1" applyFill="1" applyBorder="1" applyAlignment="1">
      <x:alignment horizontal="right" vertical="center" wrapText="0"/>
    </x:xf>
    <x:xf numFmtId="169" fontId="17" fillId="7" borderId="0" xfId="0" applyNumberFormat="1" applyFont="1" applyFill="1" applyBorder="1" applyAlignment="1">
      <x:alignment horizontal="right" vertical="center" wrapText="0"/>
    </x:xf>
    <x:xf numFmtId="170" fontId="17" fillId="7" borderId="0" xfId="0" applyNumberFormat="1" applyFont="1" applyFill="1" applyBorder="1" applyAlignment="1">
      <x:alignment horizontal="right" vertical="center" wrapText="0"/>
    </x:xf>
    <x:xf numFmtId="171" fontId="17" fillId="7" borderId="0" xfId="0" applyNumberFormat="1" applyFont="1" applyFill="1" applyBorder="1" applyAlignment="1">
      <x:alignment horizontal="right" vertical="center" wrapText="0"/>
    </x:xf>
    <x:xf numFmtId="167" fontId="17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left" vertical="center" wrapText="0"/>
    </x:xf>
    <x:xf numFmtId="164" fontId="24" fillId="7" borderId="0" xfId="0" applyNumberFormat="1" applyFont="1" applyFill="1" applyBorder="1" applyAlignment="1">
      <x:alignment horizontal="general" vertical="bottom" wrapText="0"/>
    </x:xf>
    <x:xf numFmtId="167" fontId="8" fillId="7" borderId="0" xfId="0" applyNumberFormat="1" applyFont="1" applyFill="1" applyBorder="1" applyAlignment="1">
      <x:alignment horizontal="right" vertical="center" wrapText="0"/>
    </x:xf>
    <x:xf numFmtId="168" fontId="7" fillId="7" borderId="0" xfId="0" applyNumberFormat="1" applyFont="1" applyFill="1" applyBorder="1" applyAlignment="1">
      <x:alignment horizontal="right" vertical="center" wrapText="0"/>
    </x:xf>
    <x:xf numFmtId="166" fontId="7" fillId="7" borderId="0" xfId="0" applyNumberFormat="1" applyFont="1" applyFill="1" applyBorder="1" applyAlignment="1">
      <x:alignment horizontal="right" vertical="center" wrapText="0"/>
    </x:xf>
    <x:xf numFmtId="169" fontId="7" fillId="7" borderId="0" xfId="0" applyNumberFormat="1" applyFont="1" applyFill="1" applyBorder="1" applyAlignment="1">
      <x:alignment horizontal="right" vertical="center" wrapText="0"/>
    </x:xf>
    <x:xf numFmtId="170" fontId="7" fillId="7" borderId="0" xfId="0" applyNumberFormat="1" applyFont="1" applyFill="1" applyBorder="1" applyAlignment="1">
      <x:alignment horizontal="right" vertical="center" wrapText="0"/>
    </x:xf>
    <x:xf numFmtId="171" fontId="7" fillId="7" borderId="0" xfId="0" applyNumberFormat="1" applyFont="1" applyFill="1" applyBorder="1" applyAlignment="1">
      <x:alignment horizontal="right" vertical="center" wrapText="0"/>
    </x:xf>
    <x:xf numFmtId="167" fontId="7" fillId="7" borderId="0" xfId="0" applyNumberFormat="1" applyFont="1" applyFill="1" applyBorder="1" applyAlignment="1">
      <x:alignment horizontal="right" vertical="center" wrapText="0"/>
    </x:xf>
    <x:xf numFmtId="164" fontId="8" fillId="8" borderId="0" xfId="0" applyNumberFormat="1" applyFont="1" applyFill="1" applyBorder="1" applyAlignment="1">
      <x:alignment horizontal="left" vertical="center" wrapText="0"/>
    </x:xf>
    <x:xf numFmtId="164" fontId="4" fillId="8" borderId="0" xfId="0" applyNumberFormat="1" applyFont="1" applyFill="1" applyBorder="1" applyAlignment="1">
      <x:alignment horizontal="left" vertical="center" wrapText="0"/>
    </x:xf>
    <x:xf numFmtId="164" fontId="35" fillId="7" borderId="0" xfId="0" applyNumberFormat="1" applyFont="1" applyFill="1" applyBorder="1" applyAlignment="1">
      <x:alignment horizontal="general" vertical="bottom" wrapText="0"/>
    </x:xf>
    <x:xf numFmtId="164" fontId="35" fillId="7" borderId="0" xfId="0" applyNumberFormat="1" applyFont="1" applyFill="1" applyBorder="1" applyAlignment="1">
      <x:alignment horizontal="general" vertical="bottom" wrapText="1"/>
    </x:xf>
    <x:xf numFmtId="167" fontId="9" fillId="9" borderId="0" xfId="0" applyNumberFormat="1" applyFont="1" applyFill="1" applyBorder="1" applyAlignment="1">
      <x:alignment horizontal="right" vertical="center" wrapText="0"/>
    </x:xf>
    <x:xf numFmtId="203" fontId="7" fillId="7" borderId="0" xfId="0" applyNumberFormat="1" applyFont="1" applyFill="1" applyBorder="1" applyAlignment="1">
      <x:alignment horizontal="right" vertical="center" wrapText="0"/>
    </x:xf>
    <x:xf numFmtId="203" fontId="17" fillId="7" borderId="0" xfId="0" applyNumberFormat="1" applyFont="1" applyFill="1" applyBorder="1" applyAlignment="1">
      <x:alignment horizontal="right" vertical="center" wrapText="0"/>
    </x:xf>
    <x:xf numFmtId="203" fontId="17" fillId="9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right" vertical="center" wrapText="0"/>
    </x:xf>
    <x:xf numFmtId="202" fontId="7" fillId="7" borderId="0" xfId="0" applyNumberFormat="1" applyFont="1" applyFill="1" applyBorder="1" applyAlignment="1">
      <x:alignment horizontal="right" vertical="center" wrapText="0"/>
    </x:xf>
    <x:xf numFmtId="202" fontId="17" fillId="7" borderId="0" xfId="0" applyNumberFormat="1" applyFont="1" applyFill="1" applyBorder="1" applyAlignment="1">
      <x:alignment horizontal="right" vertical="center" wrapText="0"/>
    </x:xf>
    <x:xf numFmtId="202" fontId="17" fillId="9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general" vertical="bottom" wrapText="0"/>
    </x:xf>
    <x:xf numFmtId="203" fontId="9" fillId="9" borderId="0" xfId="0" applyNumberFormat="1" applyFont="1" applyFill="1" applyBorder="1" applyAlignment="1">
      <x:alignment horizontal="general" vertical="bottom" wrapText="0"/>
    </x:xf>
    <x:xf numFmtId="166" fontId="7" fillId="10" borderId="0" xfId="0" applyNumberFormat="1" applyFont="1" applyFill="1" applyBorder="1" applyAlignment="1">
      <x:alignment horizontal="right" vertical="center" wrapText="0"/>
    </x:xf>
    <x:xf numFmtId="164" fontId="24" fillId="10" borderId="0" xfId="0" applyNumberFormat="1" applyFont="1" applyFill="1" applyBorder="1" applyAlignment="1">
      <x:alignment horizontal="general" vertical="bottom" wrapText="0"/>
    </x:xf>
    <x:xf numFmtId="166" fontId="8" fillId="10" borderId="0" xfId="0" applyNumberFormat="1" applyFont="1" applyFill="1" applyBorder="1" applyAlignment="1">
      <x:alignment horizontal="right" vertical="center" wrapText="0"/>
    </x:xf>
    <x:xf numFmtId="164" fontId="36" fillId="10" borderId="0" xfId="0" applyNumberFormat="1" applyFont="1" applyFill="1" applyBorder="1" applyAlignment="1">
      <x:alignment horizontal="general" vertical="bottom" wrapText="0"/>
    </x:xf>
    <x:xf numFmtId="170" fontId="17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right" vertical="center" wrapText="0"/>
    </x:xf>
    <x:xf numFmtId="204" fontId="17" fillId="7" borderId="0" xfId="0" applyNumberFormat="1" applyFont="1" applyFill="1" applyBorder="1" applyAlignment="1">
      <x:alignment horizontal="right" vertical="center" wrapText="0"/>
    </x:xf>
    <x:xf numFmtId="204" fontId="17" fillId="9" borderId="0" xfId="0" applyNumberFormat="1" applyFont="1" applyFill="1" applyBorder="1" applyAlignment="1">
      <x:alignment horizontal="right" vertical="center" wrapText="0"/>
    </x:xf>
    <x:xf numFmtId="167" fontId="17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general" vertical="bottom" wrapText="0"/>
    </x:xf>
    <x:xf numFmtId="204" fontId="17" fillId="7" borderId="0" xfId="0" applyNumberFormat="1" applyFont="1" applyFill="1" applyBorder="1" applyAlignment="1">
      <x:alignment horizontal="general" vertical="bottom" wrapText="0"/>
    </x:xf>
    <x:xf numFmtId="204" fontId="17" fillId="9" borderId="0" xfId="0" applyNumberFormat="1" applyFont="1" applyFill="1" applyBorder="1" applyAlignment="1">
      <x:alignment horizontal="general" vertical="bottom" wrapText="0"/>
    </x:xf>
    <x:xf numFmtId="202" fontId="10" fillId="3" borderId="0" xfId="0" applyNumberFormat="1" applyFont="1" applyFill="1" applyBorder="1" applyAlignment="1">
      <x:alignment horizontal="right" vertical="center" wrapText="0"/>
    </x:xf>
    <x:xf numFmtId="202" fontId="8" fillId="3" borderId="0" xfId="0" applyNumberFormat="1" applyFont="1" applyFill="1" applyBorder="1" applyAlignment="1">
      <x:alignment horizontal="right" vertical="center" wrapText="0"/>
    </x:xf>
    <x:xf numFmtId="164" fontId="7" fillId="3" borderId="0" xfId="0" applyNumberFormat="1" applyFont="1" applyFill="1" applyBorder="1" applyAlignment="1">
      <x:alignment horizontal="general" vertical="bottom" wrapText="0"/>
    </x:xf>
    <x:xf numFmtId="164" fontId="8" fillId="3" borderId="0" xfId="0" applyNumberFormat="1" applyFont="1" applyFill="1" applyBorder="1" applyAlignment="1">
      <x:alignment horizontal="general" vertical="bottom" wrapText="0"/>
    </x:xf>
    <x:xf numFmtId="202" fontId="23" fillId="3" borderId="0" xfId="0" applyNumberFormat="1" applyFont="1" applyFill="1" applyBorder="1" applyAlignment="1">
      <x:alignment horizontal="right" vertical="center" wrapText="0"/>
    </x:xf>
    <x:xf numFmtId="202" fontId="7" fillId="3" borderId="0" xfId="0" applyNumberFormat="1" applyFont="1" applyFill="1" applyBorder="1" applyAlignment="1">
      <x:alignment horizontal="right" vertical="center" wrapText="0"/>
    </x:xf>
    <x:xf numFmtId="164" fontId="37" fillId="3" borderId="0" xfId="0" applyNumberFormat="1" applyFont="1" applyFill="1" applyBorder="1" applyAlignment="1">
      <x:alignment horizontal="general" vertical="bottom" wrapText="0"/>
    </x:xf>
    <x:xf numFmtId="164" fontId="7" fillId="3" borderId="0" xfId="0" applyNumberFormat="1" applyFont="1" applyFill="1" applyBorder="1" applyAlignment="1">
      <x:alignment horizontal="general" vertical="bottom" wrapText="1"/>
    </x:xf>
    <x:xf numFmtId="164" fontId="7" fillId="3" borderId="0" xfId="0" applyNumberFormat="1" applyFont="1" applyFill="1" applyBorder="1" applyAlignment="1">
      <x:alignment horizontal="general" vertical="top" wrapText="1"/>
    </x:xf>
    <x:xf numFmtId="164" fontId="22" fillId="7" borderId="0" xfId="0" applyNumberFormat="1" applyFont="1" applyFill="1" applyBorder="1" applyAlignment="1">
      <x:alignment horizontal="right" vertical="center" wrapText="0"/>
    </x:xf>
    <x:xf numFmtId="166" fontId="10" fillId="7" borderId="0" xfId="0" applyNumberFormat="1" applyFont="1" applyFill="1" applyBorder="1" applyAlignment="1">
      <x:alignment horizontal="right" vertical="center" wrapText="0"/>
    </x:xf>
    <x:xf numFmtId="168" fontId="27" fillId="7" borderId="0" xfId="0" applyNumberFormat="1" applyFont="1" applyFill="1" applyBorder="1" applyAlignment="1">
      <x:alignment horizontal="right" vertical="center" wrapText="0"/>
    </x:xf>
    <x:xf numFmtId="166" fontId="27" fillId="7" borderId="0" xfId="0" applyNumberFormat="1" applyFont="1" applyFill="1" applyBorder="1" applyAlignment="1">
      <x:alignment horizontal="right" vertical="center" wrapText="0"/>
    </x:xf>
    <x:xf numFmtId="166" fontId="23" fillId="7" borderId="0" xfId="0" applyNumberFormat="1" applyFont="1" applyFill="1" applyBorder="1" applyAlignment="1">
      <x:alignment horizontal="right" vertical="center" wrapText="0"/>
    </x:xf>
    <x:xf numFmtId="166" fontId="26" fillId="7" borderId="0" xfId="0" applyNumberFormat="1" applyFont="1" applyFill="1" applyBorder="1" applyAlignment="1">
      <x:alignment horizontal="right" vertical="center" wrapText="0"/>
    </x:xf>
    <x:xf numFmtId="165" fontId="8" fillId="7" borderId="0" xfId="0" applyNumberFormat="1" applyFont="1" applyFill="1" applyBorder="1" applyAlignment="1">
      <x:alignment horizontal="right" vertical="center" wrapText="0"/>
    </x:xf>
    <x:xf numFmtId="169" fontId="10" fillId="7" borderId="0" xfId="0" applyNumberFormat="1" applyFont="1" applyFill="1" applyBorder="1" applyAlignment="1">
      <x:alignment horizontal="right" vertical="center" wrapText="0"/>
    </x:xf>
    <x:xf numFmtId="169" fontId="23" fillId="7" borderId="0" xfId="0" applyNumberFormat="1" applyFont="1" applyFill="1" applyBorder="1" applyAlignment="1">
      <x:alignment horizontal="right" vertical="center" wrapText="0"/>
    </x:xf>
    <x:xf numFmtId="166" fontId="11" fillId="7" borderId="0" xfId="0" applyNumberFormat="1" applyFont="1" applyFill="1" applyBorder="1" applyAlignment="1">
      <x:alignment horizontal="right" vertical="center" wrapText="0"/>
    </x:xf>
    <x:xf numFmtId="164" fontId="28" fillId="7" borderId="0" xfId="0" applyNumberFormat="1" applyFont="1" applyFill="1" applyBorder="1" applyAlignment="1">
      <x:alignment horizontal="general" vertical="bottom" wrapText="0"/>
    </x:xf>
    <x:xf numFmtId="164" fontId="24" fillId="7" borderId="0" xfId="0" applyNumberFormat="1" applyFont="1" applyFill="1" applyBorder="1" applyAlignment="1">
      <x:alignment horizontal="right" vertical="center" wrapText="0"/>
    </x:xf>
    <x:xf numFmtId="168" fontId="24" fillId="7" borderId="0" xfId="0" applyNumberFormat="1" applyFont="1" applyFill="1" applyBorder="1" applyAlignment="1">
      <x:alignment horizontal="right" vertical="center" wrapText="0"/>
    </x:xf>
    <x:xf numFmtId="166" fontId="24" fillId="7" borderId="0" xfId="0" applyNumberFormat="1" applyFont="1" applyFill="1" applyBorder="1" applyAlignment="1">
      <x:alignment horizontal="right" vertical="center" wrapText="0"/>
    </x:xf>
    <x:xf numFmtId="169" fontId="8" fillId="7" borderId="0" xfId="0" applyNumberFormat="1" applyFont="1" applyFill="1" applyBorder="1" applyAlignment="1">
      <x:alignment horizontal="right" vertical="center" wrapText="0"/>
    </x:xf>
    <x:xf numFmtId="200" fontId="7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right" vertical="center" wrapText="0"/>
    </x:xf>
    <x:xf numFmtId="172" fontId="15" fillId="7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general" vertical="bottom" wrapText="0"/>
    </x:xf>
    <x:xf numFmtId="202" fontId="24" fillId="7" borderId="0" xfId="0" applyNumberFormat="1" applyFont="1" applyFill="1" applyBorder="1" applyAlignment="1">
      <x:alignment horizontal="right" vertical="center" wrapText="0"/>
    </x:xf>
    <x:xf numFmtId="202" fontId="38" fillId="7" borderId="0" xfId="0" applyNumberFormat="1" applyFont="1" applyFill="1" applyBorder="1" applyAlignment="1">
      <x:alignment horizontal="right" vertical="center" wrapText="0"/>
    </x:xf>
    <x:xf numFmtId="202" fontId="11" fillId="7" borderId="0" xfId="0" applyNumberFormat="1" applyFont="1" applyFill="1" applyBorder="1" applyAlignment="1">
      <x:alignment horizontal="right" vertical="center" wrapText="0"/>
    </x:xf>
    <x:xf numFmtId="203" fontId="24" fillId="7" borderId="0" xfId="0" applyNumberFormat="1" applyFont="1" applyFill="1" applyBorder="1" applyAlignment="1">
      <x:alignment horizontal="right" vertical="center" wrapText="0"/>
    </x:xf>
    <x:xf numFmtId="203" fontId="38" fillId="7" borderId="0" xfId="0" applyNumberFormat="1" applyFont="1" applyFill="1" applyBorder="1" applyAlignment="1">
      <x:alignment horizontal="right" vertical="center" wrapText="0"/>
    </x:xf>
    <x:xf numFmtId="202" fontId="15" fillId="7" borderId="0" xfId="0" applyNumberFormat="1" applyFont="1" applyFill="1" applyBorder="1" applyAlignment="1">
      <x:alignment horizontal="right" vertical="center" wrapText="0"/>
    </x:xf>
    <x:xf numFmtId="201" fontId="8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general" vertical="bottom" wrapText="0"/>
    </x:xf>
    <x:xf numFmtId="164" fontId="8" fillId="7" borderId="1" xfId="0" applyNumberFormat="1" applyFont="1" applyFill="1" applyBorder="1" applyAlignment="1">
      <x:alignment horizontal="general" vertical="bottom" wrapText="0"/>
    </x:xf>
    <x:xf numFmtId="202" fontId="8" fillId="7" borderId="1" xfId="0" applyNumberFormat="1" applyFont="1" applyFill="1" applyBorder="1" applyAlignment="1">
      <x:alignment horizontal="right" vertical="center" wrapText="0"/>
    </x:xf>
    <x:xf numFmtId="164" fontId="36" fillId="7" borderId="0" xfId="0" applyNumberFormat="1" applyFont="1" applyFill="1" applyBorder="1" applyAlignment="1">
      <x:alignment horizontal="general" vertical="bottom" wrapText="0"/>
    </x:xf>
    <x:xf numFmtId="202" fontId="39" fillId="7" borderId="0" xfId="0" applyNumberFormat="1" applyFont="1" applyFill="1" applyBorder="1" applyAlignment="1">
      <x:alignment horizontal="right" vertical="center" wrapText="0"/>
    </x:xf>
    <x:xf numFmtId="202" fontId="36" fillId="7" borderId="0" xfId="0" applyNumberFormat="1" applyFont="1" applyFill="1" applyBorder="1" applyAlignment="1">
      <x:alignment horizontal="right" vertical="center" wrapText="0"/>
    </x:xf>
    <x:xf numFmtId="164" fontId="36" fillId="7" borderId="1" xfId="0" applyNumberFormat="1" applyFont="1" applyFill="1" applyBorder="1" applyAlignment="1">
      <x:alignment horizontal="general" vertical="bottom" wrapText="0"/>
    </x:xf>
    <x:xf numFmtId="202" fontId="39" fillId="7" borderId="1" xfId="0" applyNumberFormat="1" applyFont="1" applyFill="1" applyBorder="1" applyAlignment="1">
      <x:alignment horizontal="right" vertical="center" wrapText="0"/>
    </x:xf>
    <x:xf numFmtId="202" fontId="36" fillId="7" borderId="1" xfId="0" applyNumberFormat="1" applyFont="1" applyFill="1" applyBorder="1" applyAlignment="1">
      <x:alignment horizontal="right" vertical="center" wrapText="0"/>
    </x:xf>
    <x:xf numFmtId="202" fontId="8" fillId="7" borderId="1" xfId="0" applyNumberFormat="1" applyFont="1" applyFill="1" applyBorder="1" applyAlignment="1">
      <x:alignment horizontal="general" vertical="bottom" wrapText="0"/>
    </x:xf>
    <x:xf numFmtId="168" fontId="15" fillId="7" borderId="0" xfId="0" applyNumberFormat="1" applyFont="1" applyFill="1" applyBorder="1" applyAlignment="1">
      <x:alignment horizontal="right" vertical="center" wrapText="0"/>
    </x:xf>
    <x:xf numFmtId="170" fontId="15" fillId="7" borderId="0" xfId="0" applyNumberFormat="1" applyFont="1" applyFill="1" applyBorder="1" applyAlignment="1">
      <x:alignment horizontal="right" vertical="center" wrapText="0"/>
    </x:xf>
    <x:xf numFmtId="168" fontId="10" fillId="7" borderId="0" xfId="0" applyNumberFormat="1" applyFont="1" applyFill="1" applyBorder="1" applyAlignment="1">
      <x:alignment horizontal="right" vertical="center" wrapText="0"/>
    </x:xf>
    <x:xf numFmtId="168" fontId="23" fillId="7" borderId="0" xfId="0" applyNumberFormat="1" applyFont="1" applyFill="1" applyBorder="1" applyAlignment="1">
      <x:alignment horizontal="right" vertical="center" wrapText="0"/>
    </x:xf>
    <x:xf numFmtId="166" fontId="15" fillId="7" borderId="0" xfId="0" applyNumberFormat="1" applyFont="1" applyFill="1" applyBorder="1" applyAlignment="1">
      <x:alignment horizontal="right" vertical="center" wrapText="0"/>
    </x:xf>
    <x:xf numFmtId="164" fontId="21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right" vertical="center" wrapText="0"/>
    </x:xf>
    <x:xf numFmtId="171" fontId="23" fillId="7" borderId="0" xfId="0" applyNumberFormat="1" applyFont="1" applyFill="1" applyBorder="1" applyAlignment="1">
      <x:alignment horizontal="right" vertical="center" wrapText="0"/>
    </x:xf>
    <x:xf numFmtId="171" fontId="15" fillId="7" borderId="0" xfId="0" applyNumberFormat="1" applyFont="1" applyFill="1" applyBorder="1" applyAlignment="1">
      <x:alignment horizontal="right" vertical="center" wrapText="0"/>
    </x:xf>
    <x:xf numFmtId="165" fontId="10" fillId="7" borderId="0" xfId="0" applyNumberFormat="1" applyFont="1" applyFill="1" applyBorder="1" applyAlignment="1">
      <x:alignment horizontal="right" vertical="center" wrapText="0"/>
    </x:xf>
    <x:xf numFmtId="165" fontId="17" fillId="7" borderId="0" xfId="0" applyNumberFormat="1" applyFont="1" applyFill="1" applyBorder="1" applyAlignment="1">
      <x:alignment horizontal="right" vertical="center" wrapText="0"/>
    </x:xf>
    <x:xf numFmtId="165" fontId="7" fillId="7" borderId="0" xfId="0" applyNumberFormat="1" applyFont="1" applyFill="1" applyBorder="1" applyAlignment="1">
      <x:alignment horizontal="right" vertical="center" wrapText="0"/>
    </x:xf>
    <x:xf numFmtId="203" fontId="15" fillId="7" borderId="0" xfId="0" applyNumberFormat="1" applyFont="1" applyFill="1" applyBorder="1" applyAlignment="1">
      <x:alignment horizontal="right" vertical="center" wrapText="0"/>
    </x:xf>
    <x:xf numFmtId="164" fontId="7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right" vertical="center" wrapText="0"/>
    </x:xf>
    <x:xf numFmtId="200" fontId="8" fillId="7" borderId="0" xfId="0" applyNumberFormat="1" applyFont="1" applyFill="1" applyBorder="1" applyAlignment="1">
      <x:alignment horizontal="right" vertical="center" wrapText="0"/>
    </x:xf>
    <x:xf numFmtId="200" fontId="11" fillId="7" borderId="0" xfId="0" applyNumberFormat="1" applyFont="1" applyFill="1" applyBorder="1" applyAlignment="1">
      <x:alignment horizontal="right" vertical="center" wrapText="0"/>
    </x:xf>
    <x:xf numFmtId="172" fontId="8" fillId="7" borderId="0" xfId="0" applyNumberFormat="1" applyFont="1" applyFill="1" applyBorder="1" applyAlignment="1">
      <x:alignment horizontal="right" vertical="center" wrapText="0"/>
    </x:xf>
    <x:xf numFmtId="172" fontId="11" fillId="7" borderId="0" xfId="0" applyNumberFormat="1" applyFont="1" applyFill="1" applyBorder="1" applyAlignment="1">
      <x:alignment horizontal="right" vertical="center" wrapText="0"/>
    </x:xf>
    <x:xf numFmtId="172" fontId="15" fillId="7" borderId="0" xfId="0" applyNumberFormat="1" applyFont="1" applyFill="1" applyBorder="1" applyAlignment="1">
      <x:alignment horizontal="general" vertical="bottom" wrapText="0"/>
    </x:xf>
    <x:xf numFmtId="203" fontId="11" fillId="7" borderId="0" xfId="0" applyNumberFormat="1" applyFont="1" applyFill="1" applyBorder="1" applyAlignment="1">
      <x:alignment horizontal="general" vertical="bottom" wrapText="0"/>
    </x:xf>
    <x:xf numFmtId="164" fontId="15" fillId="7" borderId="0" xfId="0" applyNumberFormat="1" applyFont="1" applyFill="1" applyBorder="1" applyAlignment="1">
      <x:alignment horizontal="general" vertical="bottom" wrapText="0"/>
    </x:xf>
    <x:xf numFmtId="200" fontId="15" fillId="7" borderId="0" xfId="0" applyNumberFormat="1" applyFont="1" applyFill="1" applyBorder="1" applyAlignment="1">
      <x:alignment horizontal="general" vertical="bottom" wrapText="0"/>
    </x:xf>
    <x:xf numFmtId="164" fontId="38" fillId="7" borderId="0" xfId="0" applyNumberFormat="1" applyFont="1" applyFill="1" applyBorder="1" applyAlignment="1">
      <x:alignment horizontal="general" vertical="bottom" wrapText="0"/>
    </x:xf>
    <x:xf numFmtId="203" fontId="15" fillId="7" borderId="0" xfId="0" applyNumberFormat="1" applyFont="1" applyFill="1" applyBorder="1" applyAlignment="1">
      <x:alignment horizontal="general" vertical="bottom" wrapText="0"/>
    </x:xf>
    <x:xf numFmtId="204" fontId="15" fillId="7" borderId="0" xfId="0" applyNumberFormat="1" applyFont="1" applyFill="1" applyBorder="1" applyAlignment="1">
      <x:alignment horizontal="right" vertical="center" wrapText="0"/>
    </x:xf>
    <x:xf numFmtId="201" fontId="15" fillId="7" borderId="0" xfId="0" applyNumberFormat="1" applyFont="1" applyFill="1" applyBorder="1" applyAlignment="1">
      <x:alignment horizontal="general" vertical="bottom" wrapText="0"/>
    </x:xf>
    <x:xf numFmtId="166" fontId="8" fillId="7" borderId="1" xfId="0" applyNumberFormat="1" applyFont="1" applyFill="1" applyBorder="1" applyAlignment="1">
      <x:alignment horizontal="right" vertical="center" wrapText="0"/>
    </x:xf>
    <x:xf numFmtId="201" fontId="8" fillId="7" borderId="0" xfId="0" applyNumberFormat="1" applyFont="1" applyFill="1" applyBorder="1" applyAlignment="1">
      <x:alignment horizontal="general" vertical="bottom" wrapText="0"/>
    </x:xf>
    <x:xf numFmtId="201" fontId="8" fillId="7" borderId="1" xfId="0" applyNumberFormat="1" applyFont="1" applyFill="1" applyBorder="1" applyAlignment="1">
      <x:alignment horizontal="general" vertical="bottom" wrapText="0"/>
    </x:xf>
    <x:xf numFmtId="171" fontId="8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general" vertical="bottom" wrapText="1"/>
    </x:xf>
    <x:xf numFmtId="171" fontId="8" fillId="7" borderId="0" xfId="0" applyNumberFormat="1" applyFont="1" applyFill="1" applyBorder="1" applyAlignment="1">
      <x:alignment horizontal="right" vertical="center" wrapText="1"/>
    </x:xf>
    <x:xf numFmtId="171" fontId="7" fillId="7" borderId="0" xfId="0" applyNumberFormat="1" applyFont="1" applyFill="1" applyBorder="1" applyAlignment="1">
      <x:alignment horizontal="right" vertical="center" wrapText="1"/>
    </x:xf>
    <x:xf numFmtId="164" fontId="8" fillId="7" borderId="0" xfId="0" applyNumberFormat="1" applyFont="1" applyFill="1" applyBorder="1" applyAlignment="1">
      <x:alignment horizontal="general" vertical="top" wrapText="1"/>
    </x:xf>
    <x:xf numFmtId="171" fontId="8" fillId="7" borderId="0" xfId="0" applyNumberFormat="1" applyFont="1" applyFill="1" applyBorder="1" applyAlignment="1">
      <x:alignment horizontal="right" vertical="top" wrapText="1"/>
    </x:xf>
    <x:xf numFmtId="171" fontId="7" fillId="7" borderId="0" xfId="0" applyNumberFormat="1" applyFont="1" applyFill="1" applyBorder="1" applyAlignment="1">
      <x:alignment horizontal="right" vertical="top" wrapText="1"/>
    </x:xf>
    <x:xf numFmtId="201" fontId="7" fillId="7" borderId="0" xfId="0" applyNumberFormat="1" applyFont="1" applyFill="1" applyBorder="1" applyAlignment="1">
      <x:alignment horizontal="right" vertical="center" wrapText="0"/>
    </x:xf>
    <x:xf numFmtId="201" fontId="15" fillId="7" borderId="0" xfId="0" applyNumberFormat="1" applyFont="1" applyFill="1" applyBorder="1" applyAlignment="1">
      <x:alignment horizontal="right" vertical="center" wrapText="0"/>
    </x:xf>
    <x:xf numFmtId="204" fontId="15" fillId="7" borderId="0" xfId="0" applyNumberFormat="1" applyFont="1" applyFill="1" applyBorder="1" applyAlignment="1">
      <x:alignment horizontal="general" vertical="bottom" wrapText="0"/>
    </x:xf>
    <x:xf numFmtId="165" fontId="23" fillId="7" borderId="0" xfId="0" applyNumberFormat="1" applyFont="1" applyFill="1" applyBorder="1" applyAlignment="1">
      <x:alignment horizontal="right" vertical="center" wrapText="0"/>
    </x:xf>
    <x:xf numFmtId="166" fontId="31" fillId="7" borderId="0" xfId="0" applyNumberFormat="1" applyFont="1" applyFill="1" applyBorder="1" applyAlignment="1">
      <x:alignment horizontal="right" vertical="center" wrapText="0"/>
    </x:xf>
    <x:xf numFmtId="171" fontId="31" fillId="7" borderId="0" xfId="0" applyNumberFormat="1" applyFont="1" applyFill="1" applyBorder="1" applyAlignment="1">
      <x:alignment horizontal="right" vertical="center" wrapText="0"/>
    </x:xf>
    <x:xf numFmtId="174" fontId="31" fillId="7" borderId="0" xfId="0" applyNumberFormat="1" applyFont="1" applyFill="1" applyBorder="1" applyAlignment="1">
      <x:alignment horizontal="right" vertical="center" wrapText="0"/>
    </x:xf>
    <x:xf numFmtId="168" fontId="31" fillId="7" borderId="0" xfId="0" applyNumberFormat="1" applyFont="1" applyFill="1" applyBorder="1" applyAlignment="1">
      <x:alignment horizontal="right" vertical="center" wrapText="0"/>
    </x:xf>
    <x:xf numFmtId="165" fontId="31" fillId="7" borderId="0" xfId="0" applyNumberFormat="1" applyFont="1" applyFill="1" applyBorder="1" applyAlignment="1">
      <x:alignment horizontal="right" vertical="center" wrapText="0"/>
    </x:xf>
    <x:xf numFmtId="174" fontId="8" fillId="7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general" vertical="bottom" wrapText="0"/>
    </x:xf>
    <x:xf numFmtId="204" fontId="11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general" vertical="bottom" wrapText="0"/>
    </x:xf>
    <x:xf numFmtId="202" fontId="24" fillId="7" borderId="0" xfId="0" applyNumberFormat="1" applyFont="1" applyFill="1" applyBorder="1" applyAlignment="1">
      <x:alignment horizontal="general" vertical="bottom" wrapText="0"/>
    </x:xf>
    <x:xf numFmtId="168" fontId="9" fillId="7" borderId="0" xfId="0" applyNumberFormat="1" applyFont="1" applyFill="1" applyBorder="1" applyAlignment="1">
      <x:alignment horizontal="right" vertical="center" wrapText="0"/>
    </x:xf>
    <x:xf numFmtId="171" fontId="9" fillId="7" borderId="0" xfId="0" applyNumberFormat="1" applyFont="1" applyFill="1" applyBorder="1" applyAlignment="1">
      <x:alignment horizontal="right" vertical="center" wrapText="0"/>
    </x:xf>
    <x:xf numFmtId="164" fontId="13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right" vertical="center" wrapText="0"/>
    </x:xf>
    <x:xf numFmtId="203" fontId="9" fillId="9" borderId="0" xfId="0" applyNumberFormat="1" applyFont="1" applyFill="1" applyBorder="1" applyAlignment="1">
      <x:alignment horizontal="right" vertical="center" wrapText="0"/>
    </x:xf>
    <x:xf numFmtId="203" fontId="11" fillId="7" borderId="0" xfId="0" applyNumberFormat="1" applyFont="1" applyFill="1" applyBorder="1" applyAlignment="1">
      <x:alignment horizontal="right" vertical="center" wrapText="0"/>
    </x:xf>
    <x:xf numFmtId="164" fontId="8" fillId="10" borderId="0" xfId="0" applyNumberFormat="1" applyFont="1" applyFill="1" applyBorder="1" applyAlignment="1">
      <x:alignment horizontal="right" vertical="center" wrapText="0"/>
    </x:xf>
    <x:xf numFmtId="171" fontId="8" fillId="10" borderId="0" xfId="0" applyNumberFormat="1" applyFont="1" applyFill="1" applyBorder="1" applyAlignment="1">
      <x:alignment horizontal="right" vertical="center" wrapText="0"/>
    </x:xf>
    <x:xf numFmtId="164" fontId="16" fillId="7" borderId="0" xfId="0" applyNumberFormat="1" applyFont="1" applyFill="1" applyBorder="1" applyAlignment="1">
      <x:alignment horizontal="general" vertical="bottom" wrapText="0"/>
    </x:xf>
    <x:xf numFmtId="173" fontId="17" fillId="7" borderId="0" xfId="0" applyNumberFormat="1" applyFont="1" applyFill="1" applyBorder="1" applyAlignment="1">
      <x:alignment horizontal="right" vertical="center" wrapText="0"/>
    </x:xf>
    <x:xf numFmtId="164" fontId="13" fillId="7" borderId="0" xfId="0" applyNumberFormat="1" applyFont="1" applyFill="1" applyBorder="1" applyAlignment="1">
      <x:alignment horizontal="right" vertical="center" wrapText="0"/>
    </x:xf>
    <x:xf numFmtId="164" fontId="30" fillId="7" borderId="0" xfId="0" applyNumberFormat="1" applyFont="1" applyFill="1" applyBorder="1" applyAlignment="1">
      <x:alignment horizontal="general" vertical="bottom" wrapText="0"/>
    </x:xf>
    <x:xf numFmtId="164" fontId="22" fillId="7" borderId="0" xfId="0" applyNumberFormat="1" applyFont="1" applyFill="1" applyBorder="1" applyAlignment="1">
      <x:alignment horizontal="left" vertical="top" wrapText="1"/>
    </x:xf>
    <x:xf numFmtId="173" fontId="7" fillId="7" borderId="0" xfId="0" applyNumberFormat="1" applyFont="1" applyFill="1" applyBorder="1" applyAlignment="1">
      <x:alignment horizontal="right" vertical="center" wrapText="0"/>
    </x:xf>
    <x:xf numFmtId="164" fontId="24" fillId="7" borderId="0" xfId="0" applyNumberFormat="1" applyFont="1" applyFill="1" applyBorder="1" applyAlignment="1">
      <x:alignment horizontal="left" vertical="top" wrapText="1"/>
    </x:xf>
    <x:xf numFmtId="170" fontId="7" fillId="7" borderId="0" xfId="0" applyNumberFormat="1" applyFont="1" applyFill="1" applyBorder="1" applyAlignment="1">
      <x:alignment horizontal="general" vertical="bottom" wrapText="0"/>
    </x:xf>
    <x:xf numFmtId="170" fontId="7" fillId="7" borderId="0" xfId="0" applyNumberFormat="1" applyFont="1" applyFill="1" applyBorder="1" applyAlignment="1">
      <x:alignment horizontal="general" vertical="bottom" wrapText="1"/>
    </x:xf>
    <x:xf numFmtId="173" fontId="7" fillId="7" borderId="0" xfId="0" applyNumberFormat="1" applyFont="1" applyFill="1" applyBorder="1" applyAlignment="1">
      <x:alignment horizontal="right" vertical="center" wrapText="1"/>
    </x:xf>
    <x:xf numFmtId="164" fontId="24" fillId="7" borderId="0" xfId="0" applyNumberFormat="1" applyFont="1" applyFill="1" applyBorder="1" applyAlignment="1">
      <x:alignment horizontal="right" vertical="center" wrapText="1"/>
    </x:xf>
    <x:xf numFmtId="164" fontId="26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left" vertical="top" wrapText="1"/>
    </x:xf>
    <x:xf numFmtId="164" fontId="25" fillId="7" borderId="0" xfId="0" applyNumberFormat="1" applyFont="1" applyFill="1" applyBorder="1" applyAlignment="1">
      <x:alignment horizontal="left" vertical="top" wrapText="1"/>
    </x:xf>
    <x:xf numFmtId="164" fontId="33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general" vertical="bottom" wrapText="0"/>
    </x:xf>
    <x:xf numFmtId="205" fontId="7" fillId="7" borderId="0" xfId="0" applyNumberFormat="1" applyFont="1" applyFill="1" applyBorder="1" applyAlignment="1">
      <x:alignment horizontal="general" vertical="bottom" wrapText="0"/>
    </x:xf>
    <x:xf numFmtId="167" fontId="7" fillId="7" borderId="0" xfId="0" applyNumberFormat="1" applyFont="1" applyFill="1" applyBorder="1" applyAlignment="1">
      <x:alignment horizontal="general" vertical="bottom" wrapText="0"/>
    </x:xf>
    <x:xf numFmtId="167" fontId="15" fillId="7" borderId="0" xfId="0" applyNumberFormat="1" applyFont="1" applyFill="1" applyBorder="1" applyAlignment="1">
      <x:alignment horizontal="general" vertical="bottom" wrapText="0"/>
    </x:xf>
    <x:xf numFmtId="165" fontId="15" fillId="7" borderId="0" xfId="0" applyNumberFormat="1" applyFont="1" applyFill="1" applyBorder="1" applyAlignment="1">
      <x:alignment horizontal="right" vertical="center" wrapText="0"/>
    </x:xf>
    <x:xf numFmtId="165" fontId="18" fillId="7" borderId="0" xfId="0" applyNumberFormat="1" applyFont="1" applyFill="1" applyBorder="1" applyAlignment="1">
      <x:alignment horizontal="right" vertical="center" wrapText="0"/>
    </x:xf>
    <x:xf numFmtId="164" fontId="16" fillId="7" borderId="0" xfId="0" applyNumberFormat="1" applyFont="1" applyFill="1" applyBorder="1" applyAlignment="1">
      <x:alignment horizontal="left" vertical="top" wrapText="1"/>
    </x:xf>
    <x:xf numFmtId="164" fontId="5" fillId="7" borderId="0" xfId="0" applyNumberFormat="1" applyFont="1" applyFill="1" applyBorder="1" applyAlignment="1">
      <x:alignment horizontal="left" vertical="top" wrapText="1"/>
    </x:xf>
    <x:xf numFmtId="201" fontId="11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general" vertical="bottom" wrapText="1"/>
    </x:xf>
    <x:xf numFmtId="164" fontId="6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left" vertical="center" wrapText="0"/>
    </x:xf>
    <x:xf numFmtId="164" fontId="9" fillId="7" borderId="0" xfId="0" applyNumberFormat="1" applyFont="1" applyFill="1" applyBorder="1" applyAlignment="1">
      <x:alignment horizontal="general" vertical="bottom" wrapText="0"/>
    </x:xf>
    <x:xf numFmtId="164" fontId="10" fillId="7" borderId="0" xfId="0" applyNumberFormat="1" applyFont="1" applyFill="1" applyBorder="1" applyAlignment="1">
      <x:alignment horizontal="general" vertical="bottom" wrapText="0"/>
    </x:xf>
    <x:xf numFmtId="164" fontId="12" fillId="7" borderId="0" xfId="0" applyNumberFormat="1" applyFont="1" applyFill="1" applyBorder="1" applyAlignment="1">
      <x:alignment horizontal="general" vertical="bottom" wrapText="0"/>
    </x:xf>
    <x:xf numFmtId="164" fontId="13" fillId="7" borderId="0" xfId="0" applyNumberFormat="1" applyFont="1" applyFill="1" applyBorder="1" applyAlignment="1">
      <x:alignment horizontal="left" vertical="top" wrapText="1"/>
    </x:xf>
    <x:xf numFmtId="164" fontId="15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left" vertical="center" wrapText="1"/>
    </x:xf>
    <x:xf numFmtId="164" fontId="32" fillId="7" borderId="0" xfId="0" applyNumberFormat="1" applyFont="1" applyFill="1" applyBorder="1" applyAlignment="1">
      <x:alignment horizontal="general" vertical="bottom" wrapText="0"/>
    </x:xf>
    <x:xf numFmtId="164" fontId="24" fillId="7" borderId="0" xfId="0" applyNumberFormat="1" applyFont="1" applyFill="1" applyBorder="1" applyAlignment="1">
      <x:alignment horizontal="general" vertical="bottom" wrapText="1"/>
    </x:xf>
    <x:xf numFmtId="164" fontId="24" fillId="7" borderId="0" xfId="0" applyNumberFormat="1" applyFont="1" applyFill="1" applyBorder="1" applyAlignment="1">
      <x:alignment horizontal="general" vertical="top" wrapText="1"/>
    </x:xf>
    <x:xf numFmtId="167" fontId="8" fillId="9" borderId="0" xfId="0" applyNumberFormat="1" applyFont="1" applyFill="1" applyBorder="1" applyAlignment="1">
      <x:alignment horizontal="right" vertical="center" wrapText="0"/>
    </x:xf>
    <x:xf numFmtId="202" fontId="7" fillId="9" borderId="0" xfId="0" applyNumberFormat="1" applyFont="1" applyFill="1" applyBorder="1" applyAlignment="1">
      <x:alignment horizontal="general" vertical="bottom" wrapText="0"/>
    </x:xf>
    <x:xf numFmtId="203" fontId="7" fillId="9" borderId="0" xfId="0" applyNumberFormat="1" applyFont="1" applyFill="1" applyBorder="1" applyAlignment="1">
      <x:alignment horizontal="right" vertical="center" wrapText="0"/>
    </x:xf>
    <x:xf numFmtId="203" fontId="7" fillId="9" borderId="0" xfId="0" applyNumberFormat="1" applyFont="1" applyFill="1" applyBorder="1" applyAlignment="1">
      <x:alignment horizontal="general" vertical="bottom" wrapText="0"/>
    </x:xf>
    <x:xf numFmtId="202" fontId="7" fillId="9" borderId="0" xfId="0" applyNumberFormat="1" applyFont="1" applyFill="1" applyBorder="1" applyAlignment="1">
      <x:alignment horizontal="right" vertical="center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4">
    <x:dxf>
      <x:font>
        <x:b/>
        <x:color rgb="FF9C0006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9C6500"/>
      </x:font>
      <x:fill>
        <x:patternFill patternType="solid">
          <x:bgColor rgb="FFFFF2CC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B8860B"/>
      <x:rgbColor rgb="FF800080"/>
      <x:rgbColor rgb="FF008080"/>
      <x:rgbColor rgb="FFC0C0C0"/>
      <x:rgbColor rgb="FF878787"/>
      <x:rgbColor rgb="FF9999FF"/>
      <x:rgbColor rgb="FF993366"/>
      <x:rgbColor rgb="FFFDF7EE"/>
      <x:rgbColor rgb="FFCCFFFF"/>
      <x:rgbColor rgb="FF660066"/>
      <x:rgbColor rgb="FFFF8080"/>
      <x:rgbColor rgb="FF0066CC"/>
      <x:rgbColor rgb="FFD9D9D9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FE6D2"/>
      <x:rgbColor rgb="FFFFF2A8"/>
      <x:rgbColor rgb="FF99CCFF"/>
      <x:rgbColor rgb="FFFF99CC"/>
      <x:rgbColor rgb="FFCC99FF"/>
      <x:rgbColor rgb="FFF3E6C4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1A1A17"/>
      <x:rgbColor rgb="FF993300"/>
      <x:rgbColor rgb="FF993366"/>
      <x:rgbColor rgb="FF333399"/>
      <x:rgbColor rgb="FF2E2A22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7a1667aac44e6" /><Relationship Type="http://schemas.openxmlformats.org/officeDocument/2006/relationships/theme" Target="/xl/theme/theme1.xml" Id="Rda07dbed420f421e" /><Relationship Type="http://schemas.openxmlformats.org/officeDocument/2006/relationships/sharedStrings" Target="/xl/sharedStrings.xml" Id="R858174005bf8495d" /><Relationship Type="http://schemas.openxmlformats.org/officeDocument/2006/relationships/worksheet" Target="/xl/worksheets/sheet1.xml" Id="Rd7077bd8ccd54150" /><Relationship Type="http://schemas.openxmlformats.org/officeDocument/2006/relationships/worksheet" Target="/xl/worksheets/sheet2.xml" Id="R75c0b30ab11b4a5f" /><Relationship Type="http://schemas.openxmlformats.org/officeDocument/2006/relationships/worksheet" Target="/xl/worksheets/sheet3.xml" Id="R8e0d5541f68e4d62" /><Relationship Type="http://schemas.openxmlformats.org/officeDocument/2006/relationships/worksheet" Target="/xl/worksheets/sheet4.xml" Id="R8ab55c541b13471f" /><Relationship Type="http://schemas.openxmlformats.org/officeDocument/2006/relationships/worksheet" Target="/xl/worksheets/sheet5.xml" Id="R03f3914da6994c5d" /><Relationship Type="http://schemas.openxmlformats.org/officeDocument/2006/relationships/worksheet" Target="/xl/worksheets/sheet6.xml" Id="Rb46d2c485a0f4fd4" /><Relationship Type="http://schemas.openxmlformats.org/officeDocument/2006/relationships/worksheet" Target="/xl/worksheets/sheet7.xml" Id="Rce01724c222d446d" /><Relationship Type="http://schemas.openxmlformats.org/officeDocument/2006/relationships/worksheet" Target="/xl/worksheets/sheet8.xml" Id="Re5f120585c594cbf" /><Relationship Type="http://schemas.openxmlformats.org/officeDocument/2006/relationships/worksheet" Target="/xl/worksheets/sheet9.xml" Id="R394de84a944d456e" /><Relationship Type="http://schemas.openxmlformats.org/officeDocument/2006/relationships/worksheet" Target="/xl/worksheets/sheet10.xml" Id="Re168d480122f4931" /><Relationship Type="http://schemas.openxmlformats.org/officeDocument/2006/relationships/worksheet" Target="/xl/worksheets/sheet11.xml" Id="Rf723d70160584328" /><Relationship Type="http://schemas.openxmlformats.org/officeDocument/2006/relationships/worksheet" Target="/xl/worksheets/sheet12.xml" Id="R367eb69e21b04498" /><Relationship Type="http://schemas.openxmlformats.org/officeDocument/2006/relationships/worksheet" Target="/xl/worksheets/sheet13.xml" Id="R0a5870d580424b15" /><Relationship Type="http://schemas.openxmlformats.org/officeDocument/2006/relationships/worksheet" Target="/xl/worksheets/sheet14.xml" Id="Rf24f8d4302c84e5c" /><Relationship Type="http://schemas.openxmlformats.org/officeDocument/2006/relationships/worksheet" Target="/xl/worksheets/sheet15.xml" Id="R2d5d3658d31845bf" /><Relationship Type="http://schemas.microsoft.com/office/2017/10/relationships/person" Target="/xl/persons/person.xml" Id="Rb80e02de8bd74f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3e9270b96b84b3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Value per share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Value / share</c:v>
          </c:tx>
          <c:cat>
            <c:strRef>
              <c:f>'Valuation Summary'!$F$10:$F$14</c:f>
              <c:strCache>
                <c:ptCount val="0"/>
              </c:strCache>
            </c:strRef>
          </c:cat>
          <c:val>
            <c:numRef>
              <c:f>'Valuation Summary'!$G$10:$G$14</c:f>
              <c:numCache>
                <c:formatCode>$0.00;($0.00);"—"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23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3e9270b96b84b3c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Mike Ye" id="{A8952B8B-DA42-4D47-8100-9B97F6B72061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10" dT="2026-09-07T23:48:36.157" personId="{A8952B8B-DA42-4D47-8100-9B97F6B72061}" id="{2C0B45AE-AC6A-48C9-835E-5A2C7779FF00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1" dT="2026-09-07T23:48:36.159" personId="{A8952B8B-DA42-4D47-8100-9B97F6B72061}" id="{117C1C6B-1787-4F19-A199-5EC55BC2CD80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2" dT="2026-09-07T23:48:36.159" personId="{A8952B8B-DA42-4D47-8100-9B97F6B72061}" id="{2F92BD09-F3AC-4331-A226-9CC55BB27703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6" dT="2026-09-07T23:48:36.159" personId="{A8952B8B-DA42-4D47-8100-9B97F6B72061}" id="{65FAC4B4-4655-4E36-9BCE-D382C8BCAADC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7" dT="2026-09-07T23:48:36.159" personId="{A8952B8B-DA42-4D47-8100-9B97F6B72061}" id="{10F89077-3673-4B00-BD63-191CD0344FDC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8" dT="2026-09-07T23:48:36.159" personId="{A8952B8B-DA42-4D47-8100-9B97F6B72061}" id="{DC0A8CE9-41F5-4E3E-8710-3FEA920B7EBD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19" dT="2026-09-07T23:48:36.159" personId="{A8952B8B-DA42-4D47-8100-9B97F6B72061}" id="{1B96ECC7-38C7-4ADE-88D1-0130BB9E7BD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0" dT="2026-09-07T23:48:36.159" personId="{A8952B8B-DA42-4D47-8100-9B97F6B72061}" id="{106D2CC3-562C-4F88-98C2-0C9065F278E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1" dT="2026-09-07T23:48:36.159" personId="{A8952B8B-DA42-4D47-8100-9B97F6B72061}" id="{36B7CFA4-8AE1-4B80-BFC2-56EB97AABDDA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2" dT="2026-09-07T23:48:36.16" personId="{A8952B8B-DA42-4D47-8100-9B97F6B72061}" id="{B7655D57-6AFB-480F-93D8-EF3600E630C7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3" dT="2026-09-07T23:48:36.16" personId="{A8952B8B-DA42-4D47-8100-9B97F6B72061}" id="{ED62341E-0CB5-4426-9A15-72B0593B49E9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4" dT="2026-09-07T23:48:36.16" personId="{A8952B8B-DA42-4D47-8100-9B97F6B72061}" id="{EB09110B-B383-4B6C-B02D-F00C34865DD7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5" dT="2026-09-07T23:48:36.16" personId="{A8952B8B-DA42-4D47-8100-9B97F6B72061}" id="{6DDF1407-D726-46E7-A808-F4B71C9941AC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26" dT="2026-09-07T23:48:36.16" personId="{A8952B8B-DA42-4D47-8100-9B97F6B72061}" id="{A5882AA5-FEDF-4DA3-AA2B-231892FE9F7B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34" dT="2026-09-07T23:48:36.16" personId="{A8952B8B-DA42-4D47-8100-9B97F6B72061}" id="{A9FF49CD-AE67-4B9D-B7EA-F5639F77274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36" dT="2026-09-07T23:48:36.16" personId="{A8952B8B-DA42-4D47-8100-9B97F6B72061}" id="{E2587C65-B9F4-44E3-9B49-D852B988EFEE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37" dT="2026-09-07T23:48:36.16" personId="{A8952B8B-DA42-4D47-8100-9B97F6B72061}" id="{3843545F-D9FE-4977-9DDC-4633E6827E0D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39" dT="2026-09-07T23:48:36.16" personId="{A8952B8B-DA42-4D47-8100-9B97F6B72061}" id="{D8382329-C248-4FBF-9955-7B7D0B76CF5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40" dT="2026-09-07T23:48:36.16" personId="{A8952B8B-DA42-4D47-8100-9B97F6B72061}" id="{F6E16B4A-56B8-4E56-9869-A8B051FFF382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42" dT="2026-09-07T23:48:36.16" personId="{A8952B8B-DA42-4D47-8100-9B97F6B72061}" id="{02449D83-0CC2-4AB4-BF72-FBA64522835F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  <xltc:threadedComment ref="C43" dT="2026-09-07T23:48:36.16" personId="{A8952B8B-DA42-4D47-8100-9B97F6B72061}" id="{F245C0E5-CB13-4159-B9A8-9782E2471498}">
    <xltc:text>Source: https://investor.salesforce.com/news/news-details/2026/Salesforce-Delivers-Record-Second-Quarter-Fiscal-2027-Results/default.aspx
Period: 2026-07-31; USD millions. Component aggregations are described beside the value.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cc8671716384e6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b2a7e7ea98cb43d5" /><Relationship Type="http://schemas.openxmlformats.org/officeDocument/2006/relationships/vmlDrawing" Target="/xl/drawings/vmldrawing.vml" Id="R3df1f0438967471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2.xml" Id="Rd1ddf1a352bc401f" /><Relationship Type="http://schemas.openxmlformats.org/officeDocument/2006/relationships/vmlDrawing" Target="/xl/drawings/vmldrawing2.vml" Id="Ra96da6d10751426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comments" Target="/xl/comments3.xml" Id="R9d65481c020c4c27" /><Relationship Type="http://schemas.openxmlformats.org/officeDocument/2006/relationships/vmlDrawing" Target="/xl/drawings/vmldrawing3.vml" Id="Rbf99aa5ea54341ee" /><Relationship Type="http://schemas.microsoft.com/office/2017/10/relationships/threadedComment" Target="/xl/threadedcomments/threadedcomment.xml" Id="R553e6c9830174169" /></Relationships>
</file>

<file path=xl/worksheets/sheet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SALESFORCE | PRACTICAL VALUATION MODEL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</x:row>
    <x:row r="2" ht="19" hidden="0" customHeight="1">
      <x:c r="A2" s="136" t="str">
        <x:v>MikeYe.com • Version 1.2.1 • November 2026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  <x:c r="M3" s="2"/>
      <x:c r="N3" s="2"/>
    </x:row>
    <x:row r="4" ht="19" hidden="0" customHeight="1">
      <x:c r="A4" s="88"/>
      <x:c r="B4" s="111"/>
      <x:c r="C4" s="88"/>
      <x:c r="D4" s="88"/>
      <x:c r="E4" s="88"/>
      <x:c r="F4" s="88"/>
      <x:c r="G4" s="88"/>
      <x:c r="H4" s="88"/>
      <x:c r="I4" s="88"/>
      <x:c r="J4" s="88"/>
      <x:c r="K4" s="2"/>
      <x:c r="L4" s="2"/>
      <x:c r="M4" s="2"/>
      <x:c r="N4" s="2"/>
    </x:row>
    <x:row r="5" ht="19" hidden="0" customHeight="1">
      <x:c r="A5" s="88"/>
      <x:c r="B5" s="279" t="str">
        <x:v>Calculation status</x:v>
      </x:c>
      <x:c r="C5" s="298" t="str">
        <x:f>'Checks'!F34</x:f>
        <x:v>PASS</x:v>
      </x:c>
      <x:c r="D5" s="279"/>
      <x:c r="E5" s="88"/>
      <x:c r="F5" s="88"/>
      <x:c r="G5" s="88"/>
      <x:c r="H5" s="88"/>
      <x:c r="I5" s="88"/>
      <x:c r="J5" s="88"/>
      <x:c r="K5" s="2"/>
      <x:c r="L5" s="2"/>
      <x:c r="M5" s="2"/>
      <x:c r="N5" s="2"/>
    </x:row>
    <x:row r="6" ht="19" hidden="0" customHeight="1">
      <x:c r="A6" s="88"/>
      <x:c r="B6" s="279" t="str">
        <x:v>Model basis</x:v>
      </x:c>
      <x:c r="C6" s="298" t="str">
        <x:f>'Checks'!F46</x:f>
        <x:v>ASSUMPTION</x:v>
      </x:c>
      <x:c r="D6" s="279"/>
      <x:c r="E6" s="88"/>
      <x:c r="F6" s="88"/>
      <x:c r="G6" s="88"/>
      <x:c r="H6" s="88"/>
      <x:c r="I6" s="88"/>
      <x:c r="J6" s="88"/>
      <x:c r="K6" s="2"/>
      <x:c r="L6" s="2"/>
      <x:c r="M6" s="2"/>
      <x:c r="N6" s="2"/>
    </x:row>
    <x:row r="7" ht="19" hidden="0" customHeight="1">
      <x:c r="A7" s="88"/>
      <x:c r="B7" s="279"/>
      <x:c r="C7" s="279"/>
      <x:c r="D7" s="279"/>
      <x:c r="E7" s="88"/>
      <x:c r="F7" s="88"/>
      <x:c r="G7" s="88"/>
      <x:c r="H7" s="88"/>
      <x:c r="I7" s="88"/>
      <x:c r="J7" s="88"/>
      <x:c r="K7" s="2"/>
      <x:c r="L7" s="2"/>
      <x:c r="M7" s="2"/>
      <x:c r="N7" s="2"/>
    </x:row>
    <x:row r="8" ht="19" hidden="0" customHeight="1">
      <x:c r="A8" s="88"/>
      <x:c r="B8" s="279"/>
      <x:c r="C8" s="279"/>
      <x:c r="D8" s="279"/>
      <x:c r="E8" s="88"/>
      <x:c r="F8" s="88"/>
      <x:c r="G8" s="88"/>
      <x:c r="H8" s="88"/>
      <x:c r="I8" s="88"/>
      <x:c r="J8" s="88"/>
      <x:c r="K8" s="2"/>
      <x:c r="L8" s="2"/>
      <x:c r="M8" s="2"/>
      <x:c r="N8" s="2"/>
    </x:row>
    <x:row r="9" ht="19" hidden="0" customHeight="1">
      <x:c r="A9" s="88"/>
      <x:c r="B9" s="107" t="str">
        <x:v>Start with three questions: What cash earnings can I reproduce? What happens when revenue and margin both disappoint? What is the most I can pay without relying on my own future synergies?</x:v>
      </x:c>
      <x:c r="C9" s="107"/>
      <x:c r="D9" s="107"/>
      <x:c r="E9" s="107"/>
      <x:c r="F9" s="107"/>
      <x:c r="G9" s="107"/>
      <x:c r="H9" s="107"/>
      <x:c r="I9" s="107"/>
      <x:c r="J9" s="107"/>
      <x:c r="K9" s="2"/>
      <x:c r="L9" s="2"/>
      <x:c r="M9" s="2"/>
      <x:c r="N9" s="2"/>
    </x:row>
    <x:row r="10" ht="19" hidden="0" customHeight="1">
      <x:c r="A10" s="88"/>
      <x:c r="B10" s="241"/>
      <x:c r="C10" s="107"/>
      <x:c r="D10" s="107"/>
      <x:c r="E10" s="107"/>
      <x:c r="F10" s="107"/>
      <x:c r="G10" s="107"/>
      <x:c r="H10" s="107"/>
      <x:c r="I10" s="107"/>
      <x:c r="J10" s="107"/>
      <x:c r="K10" s="2"/>
      <x:c r="L10" s="2"/>
      <x:c r="M10" s="2"/>
      <x:c r="N10" s="2"/>
    </x:row>
    <x:row r="11" ht="19" hidden="0" customHeight="1">
      <x:c r="A11" s="88"/>
      <x:c r="B11" s="241"/>
      <x:c r="C11" s="107"/>
      <x:c r="D11" s="107"/>
      <x:c r="E11" s="107"/>
      <x:c r="F11" s="107"/>
      <x:c r="G11" s="107"/>
      <x:c r="H11" s="107"/>
      <x:c r="I11" s="107"/>
      <x:c r="J11" s="107"/>
      <x:c r="K11" s="2"/>
      <x:c r="L11" s="2"/>
      <x:c r="M11" s="2"/>
      <x:c r="N11" s="2"/>
    </x:row>
    <x:row r="12" ht="19" hidden="0" customHeight="1">
      <x:c r="A12" s="88"/>
      <x:c r="B12" s="111"/>
      <x:c r="C12" s="88"/>
      <x:c r="D12" s="88"/>
      <x:c r="E12" s="88"/>
      <x:c r="F12" s="88"/>
      <x:c r="G12" s="88"/>
      <x:c r="H12" s="88"/>
      <x:c r="I12" s="88"/>
      <x:c r="J12" s="88"/>
      <x:c r="K12" s="2"/>
      <x:c r="L12" s="2"/>
      <x:c r="M12" s="2"/>
      <x:c r="N12" s="2"/>
    </x:row>
    <x:row r="13" ht="19" hidden="0" customHeight="1">
      <x:c r="A13" s="88"/>
      <x:c r="B13" s="111"/>
      <x:c r="C13" s="88"/>
      <x:c r="D13" s="88"/>
      <x:c r="E13" s="88"/>
      <x:c r="F13" s="88"/>
      <x:c r="G13" s="88"/>
      <x:c r="H13" s="88"/>
      <x:c r="I13" s="88"/>
      <x:c r="J13" s="88"/>
      <x:c r="K13" s="2"/>
      <x:c r="L13" s="2"/>
      <x:c r="M13" s="2"/>
      <x:c r="N13" s="2"/>
    </x:row>
    <x:row r="14" ht="19" hidden="0" customHeight="1">
      <x:c r="A14" s="88"/>
      <x:c r="B14" s="107" t="str">
        <x:v>1. Assumptions: choose Base, Upside or Downside. Change the blue inputs.</x:v>
      </x:c>
      <x:c r="C14" s="107"/>
      <x:c r="D14" s="107"/>
      <x:c r="E14" s="107"/>
      <x:c r="F14" s="107"/>
      <x:c r="G14" s="107"/>
      <x:c r="H14" s="107"/>
      <x:c r="I14" s="107"/>
      <x:c r="J14" s="107"/>
      <x:c r="K14" s="2"/>
      <x:c r="L14" s="2"/>
      <x:c r="M14" s="2"/>
      <x:c r="N14" s="2"/>
    </x:row>
    <x:row r="15" ht="19" hidden="0" customHeight="1">
      <x:c r="A15" s="88"/>
      <x:c r="B15" s="241"/>
      <x:c r="C15" s="107"/>
      <x:c r="D15" s="107"/>
      <x:c r="E15" s="107"/>
      <x:c r="F15" s="107"/>
      <x:c r="G15" s="107"/>
      <x:c r="H15" s="107"/>
      <x:c r="I15" s="107"/>
      <x:c r="J15" s="107"/>
      <x:c r="K15" s="2"/>
      <x:c r="L15" s="2"/>
      <x:c r="M15" s="2"/>
      <x:c r="N15" s="2"/>
    </x:row>
    <x:row r="16" ht="19" hidden="0" customHeight="1">
      <x:c r="A16" s="88"/>
      <x:c r="B16" s="293"/>
      <x:c r="C16" s="293"/>
      <x:c r="D16" s="293"/>
      <x:c r="E16" s="88"/>
      <x:c r="F16" s="88"/>
      <x:c r="G16" s="88"/>
      <x:c r="H16" s="88"/>
      <x:c r="I16" s="88"/>
      <x:c r="J16" s="88"/>
      <x:c r="K16" s="2"/>
      <x:c r="L16" s="2"/>
      <x:c r="M16" s="2"/>
      <x:c r="N16" s="2"/>
    </x:row>
    <x:row r="17" ht="19" hidden="0" customHeight="1">
      <x:c r="A17" s="88"/>
      <x:c r="B17" s="279" t="str">
        <x:v>2. Valuation Summary: compare DCF, selected trading multiples and the buyer price ceiling.</x:v>
      </x:c>
      <x:c r="C17" s="279"/>
      <x:c r="D17" s="279"/>
      <x:c r="E17" s="107"/>
      <x:c r="F17" s="107"/>
      <x:c r="G17" s="107"/>
      <x:c r="H17" s="107"/>
      <x:c r="I17" s="107"/>
      <x:c r="J17" s="107"/>
      <x:c r="K17" s="2"/>
      <x:c r="L17" s="2"/>
      <x:c r="M17" s="2"/>
      <x:c r="N17" s="2"/>
    </x:row>
    <x:row r="18" ht="19" hidden="0" customHeight="1">
      <x:c r="A18" s="88"/>
      <x:c r="B18" s="279"/>
      <x:c r="C18" s="279"/>
      <x:c r="D18" s="279"/>
      <x:c r="E18" s="107"/>
      <x:c r="F18" s="107"/>
      <x:c r="G18" s="107"/>
      <x:c r="H18" s="107"/>
      <x:c r="I18" s="107"/>
      <x:c r="J18" s="107"/>
      <x:c r="K18" s="2"/>
      <x:c r="L18" s="2"/>
      <x:c r="M18" s="2"/>
      <x:c r="N18" s="2"/>
    </x:row>
    <x:row r="19" ht="19" hidden="0" customHeight="1">
      <x:c r="A19" s="88"/>
      <x:c r="B19" s="293"/>
      <x:c r="C19" s="293"/>
      <x:c r="D19" s="293"/>
      <x:c r="E19" s="88"/>
      <x:c r="F19" s="88"/>
      <x:c r="G19" s="88"/>
      <x:c r="H19" s="88"/>
      <x:c r="I19" s="88"/>
      <x:c r="J19" s="88"/>
      <x:c r="K19" s="2"/>
      <x:c r="L19" s="2"/>
      <x:c r="M19" s="2"/>
      <x:c r="N19" s="2"/>
    </x:row>
    <x:row r="20" ht="19" hidden="0" customHeight="1">
      <x:c r="A20" s="88"/>
      <x:c r="B20" s="279" t="str">
        <x:v>3. Operating Forecast: trace cash, working capital, debt and shares. First column is H2, not a full year.</x:v>
      </x:c>
      <x:c r="C20" s="279"/>
      <x:c r="D20" s="279"/>
      <x:c r="E20" s="107"/>
      <x:c r="F20" s="107"/>
      <x:c r="G20" s="107"/>
      <x:c r="H20" s="107"/>
      <x:c r="I20" s="107"/>
      <x:c r="J20" s="107"/>
      <x:c r="K20" s="2"/>
      <x:c r="L20" s="2"/>
      <x:c r="M20" s="2"/>
      <x:c r="N20" s="2"/>
    </x:row>
    <x:row r="21" ht="19" hidden="0" customHeight="1">
      <x:c r="A21" s="88"/>
      <x:c r="B21" s="107"/>
      <x:c r="C21" s="107"/>
      <x:c r="D21" s="107"/>
      <x:c r="E21" s="107"/>
      <x:c r="F21" s="107"/>
      <x:c r="G21" s="107"/>
      <x:c r="H21" s="107"/>
      <x:c r="I21" s="107"/>
      <x:c r="J21" s="107"/>
      <x:c r="K21" s="2"/>
      <x:c r="L21" s="2"/>
      <x:c r="M21" s="2"/>
      <x:c r="N21" s="2"/>
    </x:row>
    <x:row r="22" ht="19" hidden="0" customHeight="1">
      <x:c r="A22" s="88"/>
      <x:c r="B22" s="111"/>
      <x:c r="C22" s="88"/>
      <x:c r="D22" s="88"/>
      <x:c r="E22" s="88"/>
      <x:c r="F22" s="88"/>
      <x:c r="G22" s="88"/>
      <x:c r="H22" s="88"/>
      <x:c r="I22" s="88"/>
      <x:c r="J22" s="88"/>
      <x:c r="K22" s="2"/>
      <x:c r="L22" s="2"/>
      <x:c r="M22" s="2"/>
      <x:c r="N22" s="2"/>
    </x:row>
    <x:row r="23" ht="19" hidden="0" customHeight="1">
      <x:c r="A23" s="88"/>
      <x:c r="B23" s="241" t="str">
        <x:v>4. Checks: confirm the financial statements and valuation schedules tie.</x:v>
      </x:c>
      <x:c r="C23" s="107"/>
      <x:c r="D23" s="107"/>
      <x:c r="E23" s="107"/>
      <x:c r="F23" s="107"/>
      <x:c r="G23" s="107"/>
      <x:c r="H23" s="107"/>
      <x:c r="I23" s="107"/>
      <x:c r="J23" s="107"/>
      <x:c r="K23" s="2"/>
      <x:c r="L23" s="2"/>
      <x:c r="M23" s="2"/>
      <x:c r="N23" s="2"/>
    </x:row>
    <x:row r="24" ht="19" hidden="0" customHeight="1">
      <x:c r="A24" s="88"/>
      <x:c r="B24" s="241"/>
      <x:c r="C24" s="107"/>
      <x:c r="D24" s="107"/>
      <x:c r="E24" s="107"/>
      <x:c r="F24" s="107"/>
      <x:c r="G24" s="107"/>
      <x:c r="H24" s="107"/>
      <x:c r="I24" s="107"/>
      <x:c r="J24" s="107"/>
      <x:c r="K24" s="2"/>
      <x:c r="L24" s="2"/>
      <x:c r="M24" s="2"/>
      <x:c r="N24" s="2"/>
    </x:row>
    <x:row r="25" ht="19" hidden="0" customHeight="1">
      <x:c r="A25" s="88"/>
      <x:c r="B25" s="111"/>
      <x:c r="C25" s="88"/>
      <x:c r="D25" s="88"/>
      <x:c r="E25" s="88"/>
      <x:c r="F25" s="88"/>
      <x:c r="G25" s="88"/>
      <x:c r="H25" s="88"/>
      <x:c r="I25" s="88"/>
      <x:c r="J25" s="88"/>
      <x:c r="K25" s="2"/>
      <x:c r="L25" s="2"/>
      <x:c r="M25" s="2"/>
      <x:c r="N25" s="2"/>
    </x:row>
    <x:row r="26" ht="19" hidden="0" customHeight="1">
      <x:c r="A26" s="88"/>
      <x:c r="B26" s="107" t="str">
        <x:v>5. Verified Inputs and Sources &amp; Adjustments: find the source dates and key assumptions.</x:v>
      </x:c>
      <x:c r="C26" s="107"/>
      <x:c r="D26" s="107"/>
      <x:c r="E26" s="107"/>
      <x:c r="F26" s="107"/>
      <x:c r="G26" s="107"/>
      <x:c r="H26" s="107"/>
      <x:c r="I26" s="107"/>
      <x:c r="J26" s="107"/>
      <x:c r="K26" s="2"/>
      <x:c r="L26" s="2"/>
      <x:c r="M26" s="2"/>
      <x:c r="N26" s="2"/>
    </x:row>
    <x:row r="27" ht="19" hidden="0" customHeight="1">
      <x:c r="A27" s="88"/>
      <x:c r="B27" s="273"/>
      <x:c r="C27" s="273"/>
      <x:c r="D27" s="273"/>
      <x:c r="E27" s="107"/>
      <x:c r="F27" s="107"/>
      <x:c r="G27" s="107"/>
      <x:c r="H27" s="107"/>
      <x:c r="I27" s="107"/>
      <x:c r="J27" s="107"/>
      <x:c r="K27" s="2"/>
      <x:c r="L27" s="2"/>
      <x:c r="M27" s="2"/>
      <x:c r="N27" s="2"/>
    </x:row>
    <x:row r="28" ht="19" hidden="0" customHeight="1">
      <x:c r="A28" s="88"/>
      <x:c r="B28" s="273"/>
      <x:c r="C28" s="273"/>
      <x:c r="D28" s="273"/>
      <x:c r="E28" s="88"/>
      <x:c r="F28" s="88"/>
      <x:c r="G28" s="88"/>
      <x:c r="H28" s="88"/>
      <x:c r="I28" s="88"/>
      <x:c r="J28" s="88"/>
      <x:c r="K28" s="2"/>
      <x:c r="L28" s="2"/>
      <x:c r="M28" s="2"/>
      <x:c r="N28" s="2"/>
    </x:row>
    <x:row r="29" ht="19" hidden="0" customHeight="1">
      <x:c r="A29" s="88"/>
      <x:c r="B29" s="273"/>
      <x:c r="C29" s="273"/>
      <x:c r="D29" s="273"/>
      <x:c r="E29" s="88"/>
      <x:c r="F29" s="88"/>
      <x:c r="G29" s="88"/>
      <x:c r="H29" s="88"/>
      <x:c r="I29" s="88"/>
      <x:c r="J29" s="88"/>
      <x:c r="K29" s="2"/>
      <x:c r="L29" s="2"/>
      <x:c r="M29" s="2"/>
      <x:c r="N29" s="2"/>
    </x:row>
    <x:row r="30" ht="19" hidden="0" customHeight="1">
      <x:c r="A30" s="88"/>
      <x:c r="B30" s="107" t="str">
        <x:v>Blue = editable input; green = link to another sheet; black = calculation or reported source value. Dollar figures are US$ millions except per share. The file is editable and requires no Capital IQ add-in, macro or external workbook.</x:v>
      </x:c>
      <x:c r="C30" s="107"/>
      <x:c r="D30" s="107"/>
      <x:c r="E30" s="107"/>
      <x:c r="F30" s="107"/>
      <x:c r="G30" s="107"/>
      <x:c r="H30" s="107"/>
      <x:c r="I30" s="107"/>
      <x:c r="J30" s="107"/>
      <x:c r="K30" s="2"/>
      <x:c r="L30" s="2"/>
      <x:c r="M30" s="2"/>
      <x:c r="N30" s="2"/>
    </x:row>
    <x:row r="31" ht="19" hidden="0" customHeight="1">
      <x:c r="A31" s="88"/>
      <x:c r="B31" s="273"/>
      <x:c r="C31" s="273"/>
      <x:c r="D31" s="273"/>
      <x:c r="E31" s="107"/>
      <x:c r="F31" s="107"/>
      <x:c r="G31" s="107"/>
      <x:c r="H31" s="107"/>
      <x:c r="I31" s="107"/>
      <x:c r="J31" s="107"/>
      <x:c r="K31" s="2"/>
      <x:c r="L31" s="2"/>
      <x:c r="M31" s="2"/>
      <x:c r="N31" s="2"/>
    </x:row>
    <x:row r="32" ht="19" hidden="0" customHeight="1">
      <x:c r="A32" s="88"/>
      <x:c r="B32" s="273"/>
      <x:c r="C32" s="273"/>
      <x:c r="D32" s="273"/>
      <x:c r="E32" s="107"/>
      <x:c r="F32" s="107"/>
      <x:c r="G32" s="107"/>
      <x:c r="H32" s="107"/>
      <x:c r="I32" s="107"/>
      <x:c r="J32" s="107"/>
      <x:c r="K32" s="2"/>
      <x:c r="L32" s="2"/>
      <x:c r="M32" s="2"/>
      <x:c r="N32" s="2"/>
    </x:row>
    <x:row r="33" ht="19" hidden="0" customHeight="1">
      <x:c r="A33" s="88"/>
      <x:c r="B33" s="273"/>
      <x:c r="C33" s="273"/>
      <x:c r="D33" s="273"/>
      <x:c r="E33" s="88"/>
      <x:c r="F33" s="88"/>
      <x:c r="G33" s="88"/>
      <x:c r="H33" s="88"/>
      <x:c r="I33" s="88"/>
      <x:c r="J33" s="88"/>
      <x:c r="K33" s="2"/>
      <x:c r="L33" s="2"/>
      <x:c r="M33" s="2"/>
      <x:c r="N33" s="2"/>
    </x:row>
    <x:row r="34" ht="19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2"/>
      <x:c r="L34" s="2"/>
      <x:c r="M34" s="2"/>
      <x:c r="N34" s="2"/>
    </x:row>
    <x:row r="35" ht="19" hidden="0" customHeight="1">
      <x:c r="A35" s="88"/>
      <x:c r="B35" s="107" t="str">
        <x:v>Key assumptions: balance-sheet date, diluted shares, peer multiples, cash-flow timing and refinancing. Change these inputs to test a different view.</x:v>
      </x:c>
      <x:c r="C35" s="107"/>
      <x:c r="D35" s="107"/>
      <x:c r="E35" s="107"/>
      <x:c r="F35" s="107"/>
      <x:c r="G35" s="107"/>
      <x:c r="H35" s="107"/>
      <x:c r="I35" s="107"/>
      <x:c r="J35" s="107"/>
      <x:c r="K35" s="2"/>
      <x:c r="L35" s="2"/>
      <x:c r="M35" s="2"/>
      <x:c r="N35" s="2"/>
    </x:row>
    <x:row r="36" ht="19" hidden="0" customHeight="1">
      <x:c r="A36" s="88"/>
      <x:c r="B36" s="107"/>
      <x:c r="C36" s="107"/>
      <x:c r="D36" s="107"/>
      <x:c r="E36" s="107"/>
      <x:c r="F36" s="107"/>
      <x:c r="G36" s="107"/>
      <x:c r="H36" s="107"/>
      <x:c r="I36" s="107"/>
      <x:c r="J36" s="107"/>
      <x:c r="K36" s="2"/>
      <x:c r="L36" s="2"/>
      <x:c r="M36" s="2"/>
      <x:c r="N36" s="2"/>
    </x:row>
    <x:row r="37" ht="19" hidden="0" customHeight="1">
      <x:c r="A37" s="88"/>
      <x:c r="B37" s="107"/>
      <x:c r="C37" s="107"/>
      <x:c r="D37" s="107"/>
      <x:c r="E37" s="107"/>
      <x:c r="F37" s="107"/>
      <x:c r="G37" s="107"/>
      <x:c r="H37" s="107"/>
      <x:c r="I37" s="107"/>
      <x:c r="J37" s="107"/>
      <x:c r="K37" s="2"/>
      <x:c r="L37" s="2"/>
      <x:c r="M37" s="2"/>
      <x:c r="N37" s="2"/>
    </x:row>
    <x:row r="38" ht="19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  <x:c r="K38" s="2"/>
      <x:c r="L38" s="2"/>
      <x:c r="M38" s="2"/>
      <x:c r="N38" s="2"/>
    </x:row>
    <x:row r="39" ht="19" hidden="0" customHeight="1">
      <x:c r="A39" s="88"/>
      <x:c r="B39" s="88"/>
      <x:c r="C39" s="88"/>
      <x:c r="D39" s="88"/>
      <x:c r="E39" s="88"/>
      <x:c r="F39" s="88"/>
      <x:c r="G39" s="88"/>
      <x:c r="H39" s="88"/>
      <x:c r="I39" s="88"/>
      <x:c r="J39" s="88"/>
      <x:c r="K39" s="2"/>
      <x:c r="L39" s="2"/>
      <x:c r="M39" s="2"/>
      <x:c r="N39" s="2"/>
    </x:row>
    <x:row r="40" ht="19" hidden="0" customHeight="1">
      <x:c r="A40" s="88"/>
      <x:c r="B40" s="107" t="str">
        <x:v>Establish a price ceiling before negotiating. Test the downside and keep buyer-created synergies separate from standalone value.</x:v>
      </x:c>
      <x:c r="C40" s="107"/>
      <x:c r="D40" s="107"/>
      <x:c r="E40" s="107"/>
      <x:c r="F40" s="107"/>
      <x:c r="G40" s="107"/>
      <x:c r="H40" s="107"/>
      <x:c r="I40" s="107"/>
      <x:c r="J40" s="107"/>
      <x:c r="K40" s="2"/>
      <x:c r="L40" s="2"/>
      <x:c r="M40" s="2"/>
      <x:c r="N40" s="2"/>
    </x:row>
    <x:row r="41" ht="19" hidden="0" customHeight="1">
      <x:c r="A41" s="88"/>
      <x:c r="B41" s="107"/>
      <x:c r="C41" s="107"/>
      <x:c r="D41" s="107"/>
      <x:c r="E41" s="107"/>
      <x:c r="F41" s="107"/>
      <x:c r="G41" s="107"/>
      <x:c r="H41" s="107"/>
      <x:c r="I41" s="107"/>
      <x:c r="J41" s="107"/>
      <x:c r="K41" s="2"/>
      <x:c r="L41" s="2"/>
      <x:c r="M41" s="2"/>
      <x:c r="N41" s="2"/>
    </x:row>
    <x:row r="42" ht="19" hidden="0" customHeight="1">
      <x:c r="A42" s="88"/>
      <x:c r="B42" s="107"/>
      <x:c r="C42" s="107"/>
      <x:c r="D42" s="107"/>
      <x:c r="E42" s="107"/>
      <x:c r="F42" s="107"/>
      <x:c r="G42" s="107"/>
      <x:c r="H42" s="107"/>
      <x:c r="I42" s="107"/>
      <x:c r="J42" s="107"/>
      <x:c r="K42" s="2"/>
      <x:c r="L42" s="2"/>
      <x:c r="M42" s="2"/>
      <x:c r="N42" s="2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2"/>
      <x:c r="L43" s="2"/>
      <x:c r="M43" s="2"/>
      <x:c r="N43" s="2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2"/>
      <x:c r="L44" s="2"/>
      <x:c r="M44" s="2"/>
      <x:c r="N44" s="2"/>
    </x:row>
    <x:row r="45" ht="19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2"/>
      <x:c r="L45" s="2"/>
      <x:c r="M45" s="2"/>
      <x:c r="N45" s="2"/>
    </x:row>
    <x:row r="46" ht="19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2"/>
      <x:c r="L46" s="2"/>
      <x:c r="M46" s="2"/>
      <x:c r="N46" s="2"/>
    </x:row>
    <x:row r="47" ht="19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2"/>
      <x:c r="L47" s="2"/>
      <x:c r="M47" s="2"/>
      <x:c r="N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15" hidden="0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15" hidden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15" hidden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15" hidden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15" hidden="0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15" hidden="0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15" hidden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15" hidden="0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15" hidden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15" hidden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15" hidden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15" hidden="0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15" hidden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</x:sheetData>
  <x:mergeCells>
    <x:mergeCell ref="A1:J1"/>
    <x:mergeCell ref="A2:J3"/>
    <x:mergeCell ref="B9:J11"/>
    <x:mergeCell ref="B14:J15"/>
    <x:mergeCell ref="B17:J18"/>
    <x:mergeCell ref="B20:J21"/>
    <x:mergeCell ref="B23:J24"/>
    <x:mergeCell ref="B26:J27"/>
    <x:mergeCell ref="B30:J32"/>
    <x:mergeCell ref="B35:J37"/>
    <x:mergeCell ref="B40:J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5" width="13" hidden="0" customWidth="1"/>
    <x:col min="14" max="16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VALUATION SUMMARY | WHAT THE CASE SUPPORTS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  <x:c r="O1" s="2"/>
      <x:c r="P1" s="2"/>
      <x:c r="Q1" s="2"/>
      <x:c r="R1" s="2"/>
    </x:row>
    <x:row r="2" ht="19" hidden="0" customHeight="1">
      <x:c r="A2" s="136" t="str">
        <x:v>DCF, selected trading multiples and buyer returns under the active scenario.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  <x:c r="O2" s="2"/>
      <x:c r="P2" s="2"/>
      <x:c r="Q2" s="2"/>
      <x:c r="R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  <x:c r="M3" s="2"/>
      <x:c r="N3" s="2"/>
      <x:c r="O3" s="2"/>
      <x:c r="P3" s="2"/>
      <x:c r="Q3" s="2"/>
      <x:c r="R3" s="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15"/>
      <x:c r="L4" s="15"/>
      <x:c r="M4" s="2"/>
      <x:c r="N4" s="6"/>
      <x:c r="O4" s="2"/>
      <x:c r="P4" s="2"/>
      <x:c r="Q4" s="2"/>
      <x:c r="R4" s="2"/>
    </x:row>
    <x:row r="5" ht="19" hidden="0" customHeight="1">
      <x:c r="A5" s="88"/>
      <x:c r="B5" s="111" t="str">
        <x:v>Active scenario</x:v>
      </x:c>
      <x:c r="C5" s="213" t="str">
        <x:f>'Assumptions'!C6</x:f>
        <x:v>BASE</x:v>
      </x:c>
      <x:c r="D5" s="114"/>
      <x:c r="E5" s="114"/>
      <x:c r="F5" s="88"/>
      <x:c r="G5" s="88"/>
      <x:c r="H5" s="88"/>
      <x:c r="I5" s="88"/>
      <x:c r="J5" s="88"/>
      <x:c r="K5" s="2"/>
      <x:c r="L5" s="2"/>
      <x:c r="M5" s="2"/>
      <x:c r="N5" s="6"/>
      <x:c r="O5" s="16"/>
      <x:c r="P5" s="16"/>
      <x:c r="Q5" s="2"/>
      <x:c r="R5" s="2"/>
    </x:row>
    <x:row r="6" ht="19" hidden="0" customHeight="1">
      <x:c r="A6" s="88"/>
      <x:c r="B6" s="88" t="str">
        <x:v>Calculation status</x:v>
      </x:c>
      <x:c r="C6" s="221" t="str">
        <x:f aca="0">'Checks'!F34</x:f>
        <x:v>PASS</x:v>
      </x:c>
      <x:c r="D6" s="218"/>
      <x:c r="E6" s="176"/>
      <x:c r="F6" s="88"/>
      <x:c r="G6" s="88"/>
      <x:c r="H6" s="88"/>
      <x:c r="I6" s="88"/>
      <x:c r="J6" s="88"/>
      <x:c r="K6" s="2"/>
      <x:c r="L6" s="2"/>
      <x:c r="M6" s="2"/>
      <x:c r="N6" s="7"/>
      <x:c r="O6" s="19"/>
      <x:c r="P6" s="19"/>
      <x:c r="Q6" s="2"/>
      <x:c r="R6" s="2"/>
    </x:row>
    <x:row r="7" ht="19" hidden="0" customHeight="1">
      <x:c r="A7" s="88"/>
      <x:c r="B7" s="88" t="str">
        <x:v>Model basis</x:v>
      </x:c>
      <x:c r="C7" s="221" t="str">
        <x:f aca="0">'Checks'!F46</x:f>
        <x:v>ASSUMPTION</x:v>
      </x:c>
      <x:c r="D7" s="218"/>
      <x:c r="E7" s="176"/>
      <x:c r="F7" s="88"/>
      <x:c r="G7" s="88"/>
      <x:c r="H7" s="88"/>
      <x:c r="I7" s="88"/>
      <x:c r="J7" s="88"/>
      <x:c r="K7" s="2"/>
      <x:c r="L7" s="2"/>
      <x:c r="M7" s="2"/>
      <x:c r="N7" s="7"/>
      <x:c r="O7" s="19"/>
      <x:c r="P7" s="19"/>
      <x:c r="Q7" s="2"/>
      <x:c r="R7" s="2"/>
    </x:row>
    <x:row r="8" ht="19" hidden="0" customHeight="1">
      <x:c r="A8" s="88"/>
      <x:c r="B8" s="88"/>
      <x:c r="C8" s="218"/>
      <x:c r="D8" s="218"/>
      <x:c r="E8" s="176"/>
      <x:c r="F8" s="88"/>
      <x:c r="G8" s="88"/>
      <x:c r="H8" s="88"/>
      <x:c r="I8" s="88"/>
      <x:c r="J8" s="88"/>
      <x:c r="K8" s="2"/>
      <x:c r="L8" s="2"/>
      <x:c r="M8" s="2"/>
      <x:c r="N8" s="7"/>
      <x:c r="O8" s="19"/>
      <x:c r="P8" s="19"/>
      <x:c r="Q8" s="2"/>
      <x:c r="R8" s="2"/>
    </x:row>
    <x:row r="9" ht="19" hidden="0" customHeight="1">
      <x:c r="A9" s="88"/>
      <x:c r="B9" s="88" t="str">
        <x:v>Method</x:v>
      </x:c>
      <x:c r="C9" s="218" t="str">
        <x:v>Low / point</x:v>
      </x:c>
      <x:c r="D9" s="218" t="str">
        <x:v>High / point</x:v>
      </x:c>
      <x:c r="E9" s="176"/>
      <x:c r="F9" s="88" t="str">
        <x:v>Lens</x:v>
      </x:c>
      <x:c r="G9" s="88" t="str">
        <x:v>Value / share</x:v>
      </x:c>
      <x:c r="H9" s="88"/>
      <x:c r="I9" s="88"/>
      <x:c r="J9" s="88"/>
      <x:c r="K9" s="2"/>
      <x:c r="L9" s="2"/>
      <x:c r="M9" s="2"/>
      <x:c r="N9" s="7"/>
      <x:c r="O9" s="19"/>
      <x:c r="P9" s="19"/>
      <x:c r="Q9" s="2"/>
      <x:c r="R9" s="2"/>
    </x:row>
    <x:row r="10" ht="19" hidden="0" customHeight="1">
      <x:c r="A10" s="88"/>
      <x:c r="B10" s="88" t="str">
        <x:v>DCF — perpetuity</x:v>
      </x:c>
      <x:c r="C10" s="245" t="n">
        <x:f>'DCF'!C53</x:f>
        <x:v>156.88319567706625</x:v>
      </x:c>
      <x:c r="D10" s="245" t="n">
        <x:f>'DCF'!C53</x:f>
        <x:v>156.88319567706625</x:v>
      </x:c>
      <x:c r="E10" s="218"/>
      <x:c r="F10" s="88" t="str">
        <x:v>DCF perpetuity</x:v>
      </x:c>
      <x:c r="G10" s="95" t="n">
        <x:f>C10</x:f>
        <x:v>156.88319567706625</x:v>
      </x:c>
      <x:c r="H10" s="88"/>
      <x:c r="I10" s="88"/>
      <x:c r="J10" s="88"/>
      <x:c r="K10" s="2"/>
      <x:c r="L10" s="2"/>
      <x:c r="M10" s="2"/>
      <x:c r="N10" s="2"/>
      <x:c r="O10" s="2"/>
      <x:c r="P10" s="2"/>
      <x:c r="Q10" s="2"/>
      <x:c r="R10" s="2"/>
    </x:row>
    <x:row r="11" ht="19" hidden="0" customHeight="1">
      <x:c r="A11" s="88"/>
      <x:c r="B11" s="88" t="str">
        <x:v>DCF — exit cross-check</x:v>
      </x:c>
      <x:c r="C11" s="233" t="n">
        <x:f>'DCF'!D53</x:f>
        <x:v>208.174067588622</x:v>
      </x:c>
      <x:c r="D11" s="233" t="n">
        <x:f>'DCF'!D53</x:f>
        <x:v>208.174067588622</x:v>
      </x:c>
      <x:c r="E11" s="88"/>
      <x:c r="F11" s="88" t="str">
        <x:v>DCF exit</x:v>
      </x:c>
      <x:c r="G11" s="95" t="n">
        <x:f>C11</x:f>
        <x:v>208.174067588622</x:v>
      </x:c>
      <x:c r="H11" s="88"/>
      <x:c r="I11" s="88"/>
      <x:c r="J11" s="88"/>
      <x:c r="K11" s="2"/>
      <x:c r="L11" s="2"/>
      <x:c r="M11" s="2"/>
      <x:c r="N11" s="2"/>
      <x:c r="O11" s="2"/>
      <x:c r="P11" s="2"/>
      <x:c r="Q11" s="2"/>
      <x:c r="R11" s="2"/>
    </x:row>
    <x:row r="12" ht="19" hidden="0" customHeight="1">
      <x:c r="A12" s="88"/>
      <x:c r="B12" s="111" t="str">
        <x:v>EV / EBITDA</x:v>
      </x:c>
      <x:c r="C12" s="290" t="n">
        <x:f aca="0">'Trading Comps'!C27</x:f>
        <x:v>186.153227771011</x:v>
      </x:c>
      <x:c r="D12" s="233" t="n">
        <x:f>'Trading Comps'!D27</x:f>
        <x:v>242.0962241169306</x:v>
      </x:c>
      <x:c r="E12" s="88"/>
      <x:c r="F12" s="88" t="str">
        <x:v>EBITDA midpoint</x:v>
      </x:c>
      <x:c r="G12" s="95" t="n">
        <x:f>(C12+D12)/2</x:f>
        <x:v>214.12472594397082</x:v>
      </x:c>
      <x:c r="H12" s="88"/>
      <x:c r="I12" s="88"/>
      <x:c r="J12" s="88"/>
      <x:c r="K12" s="2"/>
      <x:c r="L12" s="2"/>
      <x:c r="M12" s="2"/>
      <x:c r="N12" s="2"/>
      <x:c r="O12" s="2"/>
      <x:c r="P12" s="2"/>
      <x:c r="Q12" s="2"/>
      <x:c r="R12" s="2"/>
    </x:row>
    <x:row r="13" ht="19" hidden="0" customHeight="1">
      <x:c r="A13" s="88"/>
      <x:c r="B13" s="88" t="str">
        <x:v>EV / sales</x:v>
      </x:c>
      <x:c r="C13" s="233" t="n">
        <x:f>'Trading Comps'!C34</x:f>
        <x:v>176.45188794153472</x:v>
      </x:c>
      <x:c r="D13" s="233" t="n">
        <x:f>'Trading Comps'!D34</x:f>
        <x:v>283.4872107186358</x:v>
      </x:c>
      <x:c r="E13" s="88"/>
      <x:c r="F13" s="88" t="str">
        <x:v>Buyer ceiling</x:v>
      </x:c>
      <x:c r="G13" s="95" t="n">
        <x:f>C15</x:f>
        <x:v>143.41066908548908</x:v>
      </x:c>
      <x:c r="H13" s="88"/>
      <x:c r="I13" s="88"/>
      <x:c r="J13" s="88"/>
      <x:c r="K13" s="2"/>
      <x:c r="L13" s="2"/>
      <x:c r="M13" s="2"/>
      <x:c r="N13" s="2"/>
      <x:c r="O13" s="2"/>
      <x:c r="P13" s="2"/>
      <x:c r="Q13" s="2"/>
      <x:c r="R13" s="2"/>
    </x:row>
    <x:row r="14" ht="19" hidden="0" customHeight="1">
      <x:c r="A14" s="111"/>
      <x:c r="B14" s="111"/>
      <x:c r="C14" s="111"/>
      <x:c r="D14" s="111"/>
      <x:c r="E14" s="111"/>
      <x:c r="F14" s="111" t="str">
        <x:v>Share price</x:v>
      </x:c>
      <x:c r="G14" s="235" t="n">
        <x:f>C17</x:f>
        <x:v>259.23</x:v>
      </x:c>
      <x:c r="H14" s="111"/>
      <x:c r="I14" s="111"/>
      <x:c r="J14" s="111"/>
      <x:c r="K14" s="15"/>
      <x:c r="L14" s="15"/>
      <x:c r="M14" s="2"/>
      <x:c r="N14" s="2"/>
      <x:c r="O14" s="2"/>
      <x:c r="P14" s="2"/>
      <x:c r="Q14" s="2"/>
      <x:c r="R14" s="2"/>
    </x:row>
    <x:row r="15" ht="19" hidden="0" customHeight="1">
      <x:c r="A15" s="88"/>
      <x:c r="B15" s="88" t="str">
        <x:v>Buyer affordability ceiling</x:v>
      </x:c>
      <x:c r="C15" s="290" t="n">
        <x:f>'Acquisition Returns'!C49</x:f>
        <x:v>143.41066908548908</x:v>
      </x:c>
      <x:c r="D15" s="114"/>
      <x:c r="E15" s="88"/>
      <x:c r="F15" s="88"/>
      <x:c r="G15" s="88"/>
      <x:c r="H15" s="88"/>
      <x:c r="I15" s="88"/>
      <x:c r="J15" s="88"/>
      <x:c r="K15" s="2"/>
      <x:c r="L15" s="2"/>
      <x:c r="M15" s="2"/>
      <x:c r="N15" s="2"/>
      <x:c r="O15" s="2"/>
      <x:c r="P15" s="2"/>
      <x:c r="Q15" s="2"/>
      <x:c r="R15" s="2"/>
    </x:row>
    <x:row r="16" ht="19" hidden="0" customHeight="1">
      <x:c r="A16" s="88"/>
      <x:c r="B16" s="88" t="str">
        <x:v>Assumed offer price</x:v>
      </x:c>
      <x:c r="C16" s="245" t="n">
        <x:f aca="0">'Acquisition Returns'!C6</x:f>
        <x:v>324.0375</x:v>
      </x:c>
      <x:c r="D16" s="128"/>
      <x:c r="E16" s="88"/>
      <x:c r="F16" s="88"/>
      <x:c r="G16" s="88"/>
      <x:c r="H16" s="88"/>
      <x:c r="I16" s="88"/>
      <x:c r="J16" s="88"/>
      <x:c r="K16" s="2"/>
      <x:c r="L16" s="2"/>
      <x:c r="M16" s="2"/>
      <x:c r="N16" s="2"/>
      <x:c r="O16" s="2"/>
      <x:c r="P16" s="2"/>
      <x:c r="Q16" s="2"/>
      <x:c r="R16" s="2"/>
    </x:row>
    <x:row r="17" ht="19" hidden="0" customHeight="1">
      <x:c r="A17" s="88"/>
      <x:c r="B17" s="88" t="str">
        <x:v>Share-price snapshot</x:v>
      </x:c>
      <x:c r="C17" s="245" t="n">
        <x:f aca="0">'Verified Inputs'!$C$7</x:f>
        <x:v>259.23</x:v>
      </x:c>
      <x:c r="D17" s="128"/>
      <x:c r="E17" s="88"/>
      <x:c r="F17" s="88"/>
      <x:c r="G17" s="88"/>
      <x:c r="H17" s="88"/>
      <x:c r="I17" s="88"/>
      <x:c r="J17" s="88"/>
      <x:c r="K17" s="2"/>
      <x:c r="L17" s="2"/>
      <x:c r="M17" s="2"/>
      <x:c r="N17" s="2"/>
      <x:c r="O17" s="2"/>
      <x:c r="P17" s="2"/>
      <x:c r="Q17" s="2"/>
      <x:c r="R17" s="2"/>
    </x:row>
    <x:row r="18" ht="19" hidden="0" customHeight="1">
      <x:c r="A18" s="88"/>
      <x:c r="B18" s="88"/>
      <x:c r="C18" s="218"/>
      <x:c r="D18" s="218"/>
      <x:c r="E18" s="88"/>
      <x:c r="F18" s="88"/>
      <x:c r="G18" s="88"/>
      <x:c r="H18" s="88"/>
      <x:c r="I18" s="88"/>
      <x:c r="J18" s="88"/>
      <x:c r="K18" s="2"/>
      <x:c r="L18" s="2"/>
      <x:c r="M18" s="2"/>
      <x:c r="N18" s="2"/>
      <x:c r="O18" s="2"/>
      <x:c r="P18" s="2"/>
      <x:c r="Q18" s="2"/>
      <x:c r="R18" s="2"/>
    </x:row>
    <x:row r="19" ht="19" hidden="0" customHeight="1">
      <x:c r="A19" s="88"/>
      <x:c r="B19" s="88" t="str">
        <x:v>DCF enterprise value</x:v>
      </x:c>
      <x:c r="C19" s="106" t="n">
        <x:f>'DCF'!C35</x:f>
        <x:v>159686.1036508714</x:v>
      </x:c>
      <x:c r="D19" s="88"/>
      <x:c r="E19" s="88"/>
      <x:c r="F19" s="88"/>
      <x:c r="G19" s="88"/>
      <x:c r="H19" s="88"/>
      <x:c r="I19" s="88"/>
      <x:c r="J19" s="88"/>
      <x:c r="K19" s="2"/>
      <x:c r="L19" s="2"/>
      <x:c r="M19" s="2"/>
      <x:c r="N19" s="2"/>
      <x:c r="O19" s="2"/>
      <x:c r="P19" s="2"/>
      <x:c r="Q19" s="2"/>
      <x:c r="R19" s="2"/>
    </x:row>
    <x:row r="20" ht="19" hidden="0" customHeight="1">
      <x:c r="A20" s="88"/>
      <x:c r="B20" s="88" t="str">
        <x:v>DCF equity value</x:v>
      </x:c>
      <x:c r="C20" s="106" t="n">
        <x:f>'DCF'!C51</x:f>
        <x:v>128801.1036508714</x:v>
      </x:c>
      <x:c r="D20" s="88"/>
      <x:c r="E20" s="88"/>
      <x:c r="F20" s="88"/>
      <x:c r="G20" s="88"/>
      <x:c r="H20" s="88"/>
      <x:c r="I20" s="88"/>
      <x:c r="J20" s="88"/>
      <x:c r="K20" s="2"/>
      <x:c r="L20" s="2"/>
      <x:c r="M20" s="2"/>
      <x:c r="N20" s="2"/>
      <x:c r="O20" s="2"/>
      <x:c r="P20" s="2"/>
      <x:c r="Q20" s="2"/>
      <x:c r="R20" s="2"/>
    </x:row>
    <x:row r="21" ht="19" hidden="0" customHeight="1">
      <x:c r="A21" s="88"/>
      <x:c r="B21" s="88" t="str">
        <x:v>Buyer return at tested offer</x:v>
      </x:c>
      <x:c r="C21" s="231" t="n">
        <x:f>'Acquisition Returns'!C42</x:f>
        <x:v>-0.018925651789483355</x:v>
      </x:c>
      <x:c r="D21" s="88"/>
      <x:c r="E21" s="88"/>
      <x:c r="F21" s="88"/>
      <x:c r="G21" s="88"/>
      <x:c r="H21" s="88"/>
      <x:c r="I21" s="88"/>
      <x:c r="J21" s="88"/>
      <x:c r="K21" s="2"/>
      <x:c r="L21" s="2"/>
      <x:c r="M21" s="2"/>
      <x:c r="N21" s="2"/>
      <x:c r="O21" s="2"/>
      <x:c r="P21" s="2"/>
      <x:c r="Q21" s="2"/>
      <x:c r="R21" s="2"/>
    </x:row>
    <x:row r="22" ht="19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2"/>
      <x:c r="L22" s="2"/>
      <x:c r="M22" s="2"/>
      <x:c r="N22" s="2"/>
      <x:c r="O22" s="2"/>
      <x:c r="P22" s="2"/>
      <x:c r="Q22" s="2"/>
      <x:c r="R22" s="2"/>
    </x:row>
    <x:row r="23" ht="19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2"/>
      <x:c r="L23" s="2"/>
      <x:c r="M23" s="2"/>
      <x:c r="N23" s="2"/>
      <x:c r="O23" s="2"/>
      <x:c r="P23" s="2"/>
      <x:c r="Q23" s="2"/>
      <x:c r="R23" s="2"/>
    </x:row>
    <x:row r="24" ht="19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  <x:c r="K24" s="2"/>
      <x:c r="L24" s="2"/>
      <x:c r="M24" s="2"/>
      <x:c r="N24" s="2"/>
      <x:c r="O24" s="2"/>
      <x:c r="P24" s="2"/>
      <x:c r="Q24" s="2"/>
      <x:c r="R24" s="2"/>
    </x:row>
    <x:row r="25" ht="19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  <x:c r="K25" s="2"/>
      <x:c r="L25" s="2"/>
      <x:c r="M25" s="2"/>
      <x:c r="N25" s="2"/>
      <x:c r="O25" s="2"/>
      <x:c r="P25" s="2"/>
      <x:c r="Q25" s="2"/>
      <x:c r="R25" s="2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2"/>
      <x:c r="L26" s="2"/>
      <x:c r="M26" s="2"/>
      <x:c r="N26" s="2"/>
      <x:c r="O26" s="2"/>
      <x:c r="P26" s="2"/>
      <x:c r="Q26" s="2"/>
      <x:c r="R26" s="2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2"/>
      <x:c r="L27" s="2"/>
      <x:c r="M27" s="2"/>
      <x:c r="N27" s="2"/>
      <x:c r="O27" s="2"/>
      <x:c r="P27" s="2"/>
      <x:c r="Q27" s="2"/>
      <x:c r="R27" s="2"/>
    </x:row>
    <x:row r="28" ht="19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2"/>
      <x:c r="L28" s="2"/>
      <x:c r="M28" s="2"/>
      <x:c r="N28" s="2"/>
      <x:c r="O28" s="2"/>
      <x:c r="P28" s="2"/>
      <x:c r="Q28" s="2"/>
      <x:c r="R28" s="2"/>
    </x:row>
    <x:row r="29" ht="19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2"/>
      <x:c r="L29" s="2"/>
      <x:c r="M29" s="2"/>
      <x:c r="N29" s="2"/>
      <x:c r="O29" s="2"/>
      <x:c r="P29" s="2"/>
      <x:c r="Q29" s="2"/>
      <x:c r="R29" s="2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2"/>
      <x:c r="L30" s="2"/>
      <x:c r="M30" s="2"/>
      <x:c r="N30" s="2"/>
      <x:c r="O30" s="2"/>
      <x:c r="P30" s="2"/>
      <x:c r="Q30" s="2"/>
      <x:c r="R30" s="2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2"/>
      <x:c r="L31" s="2"/>
      <x:c r="M31" s="2"/>
      <x:c r="N31" s="2"/>
      <x:c r="O31" s="2"/>
      <x:c r="P31" s="2"/>
      <x:c r="Q31" s="2"/>
      <x:c r="R31" s="2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2"/>
      <x:c r="L32" s="2"/>
      <x:c r="M32" s="2"/>
      <x:c r="N32" s="2"/>
      <x:c r="O32" s="2"/>
      <x:c r="P32" s="2"/>
      <x:c r="Q32" s="2"/>
      <x:c r="R32" s="2"/>
    </x:row>
    <x:row r="33" ht="19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  <x:c r="K33" s="2"/>
      <x:c r="L33" s="2"/>
      <x:c r="M33" s="2"/>
      <x:c r="N33" s="2"/>
      <x:c r="O33" s="2"/>
      <x:c r="P33" s="2"/>
      <x:c r="Q33" s="2"/>
      <x:c r="R33" s="2"/>
    </x:row>
    <x:row r="34" ht="19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  <x:c r="K34" s="2"/>
      <x:c r="L34" s="2"/>
      <x:c r="M34" s="2"/>
      <x:c r="N34" s="2"/>
      <x:c r="O34" s="2"/>
      <x:c r="P34" s="2"/>
      <x:c r="Q34" s="2"/>
      <x:c r="R34" s="2"/>
    </x:row>
    <x:row r="35" ht="19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2"/>
      <x:c r="L35" s="2"/>
      <x:c r="M35" s="2"/>
      <x:c r="N35" s="2"/>
      <x:c r="O35" s="2"/>
      <x:c r="P35" s="2"/>
      <x:c r="Q35" s="2"/>
      <x:c r="R35" s="2"/>
    </x:row>
    <x:row r="36" ht="19" hidden="0" customHeight="1">
      <x:c r="A36" s="88"/>
      <x:c r="B36" s="279"/>
      <x:c r="C36" s="279"/>
      <x:c r="D36" s="279"/>
      <x:c r="E36" s="279"/>
      <x:c r="F36" s="88"/>
      <x:c r="G36" s="88"/>
      <x:c r="H36" s="88"/>
      <x:c r="I36" s="88"/>
      <x:c r="J36" s="88"/>
      <x:c r="K36" s="2"/>
      <x:c r="L36" s="2"/>
      <x:c r="M36" s="2"/>
      <x:c r="N36" s="2"/>
      <x:c r="O36" s="2"/>
      <x:c r="P36" s="2"/>
      <x:c r="Q36" s="2"/>
      <x:c r="R36" s="2"/>
    </x:row>
    <x:row r="37" ht="19" hidden="0" customHeight="1">
      <x:c r="A37" s="88"/>
      <x:c r="B37" s="279"/>
      <x:c r="C37" s="279"/>
      <x:c r="D37" s="279"/>
      <x:c r="E37" s="279"/>
      <x:c r="F37" s="88"/>
      <x:c r="G37" s="88"/>
      <x:c r="H37" s="88"/>
      <x:c r="I37" s="88"/>
      <x:c r="J37" s="88"/>
      <x:c r="K37" s="2"/>
      <x:c r="L37" s="2"/>
      <x:c r="M37" s="2"/>
      <x:c r="N37" s="2"/>
      <x:c r="O37" s="2"/>
      <x:c r="P37" s="2"/>
      <x:c r="Q37" s="2"/>
      <x:c r="R37" s="2"/>
    </x:row>
    <x:row r="38" ht="19" hidden="0" customHeight="1">
      <x:c r="A38" s="88"/>
      <x:c r="B38" s="279"/>
      <x:c r="C38" s="279"/>
      <x:c r="D38" s="279"/>
      <x:c r="E38" s="279"/>
      <x:c r="F38" s="88"/>
      <x:c r="G38" s="88"/>
      <x:c r="H38" s="88"/>
      <x:c r="I38" s="88"/>
      <x:c r="J38" s="88"/>
      <x:c r="K38" s="2"/>
      <x:c r="L38" s="2"/>
      <x:c r="M38" s="2"/>
      <x:c r="N38" s="2"/>
      <x:c r="O38" s="2"/>
      <x:c r="P38" s="2"/>
      <x:c r="Q38" s="2"/>
      <x:c r="R38" s="2"/>
    </x:row>
    <x:row r="39" ht="19" hidden="0" customHeight="1">
      <x:c r="A39" s="88"/>
      <x:c r="B39" s="279"/>
      <x:c r="C39" s="279"/>
      <x:c r="D39" s="279"/>
      <x:c r="E39" s="279"/>
      <x:c r="F39" s="88"/>
      <x:c r="G39" s="88"/>
      <x:c r="H39" s="88"/>
      <x:c r="I39" s="88"/>
      <x:c r="J39" s="88"/>
      <x:c r="K39" s="2"/>
      <x:c r="L39" s="2"/>
      <x:c r="M39" s="2"/>
      <x:c r="N39" s="2"/>
      <x:c r="O39" s="2"/>
      <x:c r="P39" s="2"/>
      <x:c r="Q39" s="2"/>
      <x:c r="R39" s="2"/>
    </x:row>
    <x:row r="40" ht="19" hidden="0" customHeight="1">
      <x:c r="A40" s="88"/>
      <x:c r="B40" s="273"/>
      <x:c r="C40" s="273"/>
      <x:c r="D40" s="273"/>
      <x:c r="E40" s="273"/>
      <x:c r="F40" s="88"/>
      <x:c r="G40" s="88"/>
      <x:c r="H40" s="88"/>
      <x:c r="I40" s="88"/>
      <x:c r="J40" s="88"/>
      <x:c r="K40" s="2"/>
      <x:c r="L40" s="2"/>
      <x:c r="M40" s="2"/>
      <x:c r="N40" s="2"/>
      <x:c r="O40" s="2"/>
      <x:c r="P40" s="2"/>
      <x:c r="Q40" s="2"/>
      <x:c r="R40" s="2"/>
    </x:row>
    <x:row r="41" ht="19" hidden="0" customHeight="1">
      <x:c r="A41" s="88"/>
      <x:c r="B41" s="273" t="str">
        <x:v>Read the business before the price: test whether recurring revenue, customer workflows and cash conversion survive slower growth and competition. RPO growth is evidence to investigate, not proof of retention.</x:v>
      </x:c>
      <x:c r="C41" s="273"/>
      <x:c r="D41" s="273"/>
      <x:c r="E41" s="273"/>
      <x:c r="F41" s="107"/>
      <x:c r="G41" s="107"/>
      <x:c r="H41" s="107"/>
      <x:c r="I41" s="107"/>
      <x:c r="J41" s="107"/>
      <x:c r="K41" s="2"/>
      <x:c r="L41" s="2"/>
      <x:c r="M41" s="2"/>
      <x:c r="N41" s="2"/>
      <x:c r="O41" s="2"/>
      <x:c r="P41" s="2"/>
      <x:c r="Q41" s="2"/>
      <x:c r="R41" s="2"/>
    </x:row>
    <x:row r="42" ht="19" hidden="0" customHeight="1">
      <x:c r="A42" s="88"/>
      <x:c r="B42" s="273"/>
      <x:c r="C42" s="273"/>
      <x:c r="D42" s="273"/>
      <x:c r="E42" s="273"/>
      <x:c r="F42" s="107"/>
      <x:c r="G42" s="107"/>
      <x:c r="H42" s="107"/>
      <x:c r="I42" s="107"/>
      <x:c r="J42" s="107"/>
      <x:c r="K42" s="2"/>
      <x:c r="L42" s="2"/>
      <x:c r="M42" s="2"/>
      <x:c r="N42" s="2"/>
      <x:c r="O42" s="2"/>
      <x:c r="P42" s="2"/>
      <x:c r="Q42" s="2"/>
      <x:c r="R42" s="2"/>
    </x:row>
    <x:row r="43" ht="19" hidden="0" customHeight="1">
      <x:c r="A43" s="88"/>
      <x:c r="B43" s="273"/>
      <x:c r="C43" s="273"/>
      <x:c r="D43" s="273"/>
      <x:c r="E43" s="273"/>
      <x:c r="F43" s="107"/>
      <x:c r="G43" s="107"/>
      <x:c r="H43" s="107"/>
      <x:c r="I43" s="107"/>
      <x:c r="J43" s="107"/>
      <x:c r="K43" s="2"/>
      <x:c r="L43" s="2"/>
      <x:c r="M43" s="2"/>
      <x:c r="N43" s="2"/>
      <x:c r="O43" s="2"/>
      <x:c r="P43" s="2"/>
      <x:c r="Q43" s="2"/>
      <x:c r="R43" s="2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2"/>
      <x:c r="L44" s="2"/>
      <x:c r="M44" s="2"/>
      <x:c r="N44" s="2"/>
      <x:c r="O44" s="2"/>
      <x:c r="P44" s="2"/>
      <x:c r="Q44" s="2"/>
      <x:c r="R44" s="2"/>
    </x:row>
    <x:row r="45" ht="19" hidden="0" customHeight="1">
      <x:c r="A45" s="88"/>
      <x:c r="B45" s="107" t="str">
        <x:v>Keep the seller’s standalone value separate from what your team might create. A buyer ceiling answers what can be financed at the hurdle; it does not prove what should be paid. Review the downside case before advancing.</x:v>
      </x:c>
      <x:c r="C45" s="107"/>
      <x:c r="D45" s="107"/>
      <x:c r="E45" s="107"/>
      <x:c r="F45" s="107"/>
      <x:c r="G45" s="107"/>
      <x:c r="H45" s="107"/>
      <x:c r="I45" s="107"/>
      <x:c r="J45" s="107"/>
      <x:c r="K45" s="2"/>
      <x:c r="L45" s="2"/>
      <x:c r="M45" s="2"/>
      <x:c r="N45" s="2"/>
      <x:c r="O45" s="2"/>
      <x:c r="P45" s="2"/>
      <x:c r="Q45" s="2"/>
      <x:c r="R45" s="2"/>
    </x:row>
    <x:row r="46" ht="19" hidden="0" customHeight="1">
      <x:c r="A46" s="88"/>
      <x:c r="B46" s="107"/>
      <x:c r="C46" s="107"/>
      <x:c r="D46" s="107"/>
      <x:c r="E46" s="107"/>
      <x:c r="F46" s="107"/>
      <x:c r="G46" s="107"/>
      <x:c r="H46" s="107"/>
      <x:c r="I46" s="107"/>
      <x:c r="J46" s="107"/>
      <x:c r="K46" s="2"/>
      <x:c r="L46" s="2"/>
      <x:c r="M46" s="2"/>
      <x:c r="N46" s="2"/>
      <x:c r="O46" s="2"/>
      <x:c r="P46" s="2"/>
      <x:c r="Q46" s="2"/>
      <x:c r="R46" s="2"/>
    </x:row>
    <x:row r="47" ht="19" hidden="0" customHeight="1">
      <x:c r="A47" s="88"/>
      <x:c r="B47" s="107"/>
      <x:c r="C47" s="107"/>
      <x:c r="D47" s="107"/>
      <x:c r="E47" s="107"/>
      <x:c r="F47" s="107"/>
      <x:c r="G47" s="107"/>
      <x:c r="H47" s="107"/>
      <x:c r="I47" s="107"/>
      <x:c r="J47" s="107"/>
      <x:c r="K47" s="2"/>
      <x:c r="L47" s="2"/>
      <x:c r="M47" s="2"/>
      <x:c r="N47" s="2"/>
      <x:c r="O47" s="2"/>
      <x:c r="P47" s="2"/>
      <x:c r="Q47" s="2"/>
      <x:c r="R47" s="2"/>
    </x:row>
    <x:row r="48" ht="19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2"/>
      <x:c r="L48" s="2"/>
      <x:c r="M48" s="2"/>
      <x:c r="N48" s="2"/>
      <x:c r="O48" s="2"/>
      <x:c r="P48" s="2"/>
      <x:c r="Q48" s="2"/>
      <x:c r="R48" s="2"/>
    </x:row>
    <x:row r="49" ht="19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  <x:c r="K49" s="2"/>
      <x:c r="L49" s="2"/>
      <x:c r="M49" s="2"/>
      <x:c r="N49" s="2"/>
      <x:c r="O49" s="2"/>
      <x:c r="P49" s="2"/>
      <x:c r="Q49" s="2"/>
      <x:c r="R49" s="2"/>
    </x:row>
    <x:row r="50" ht="19" hidden="0" customHeight="1">
      <x:c r="A50" s="88"/>
      <x:c r="B50" s="88" t="str">
        <x:v>Decision at the selected assumptions</x:v>
      </x:c>
      <x:c r="C50" s="291" t="str">
        <x:f>IF('Checks'!F34="FAIL","STOP — resolve failed checks",IF(C16&gt;C15,"REPRICE — offer exceeds buyer ceiling","INVESTIGATE — offer within modeled ceiling"))</x:f>
        <x:v>REPRICE — offer exceeds buyer ceiling</x:v>
      </x:c>
      <x:c r="D50" s="94"/>
      <x:c r="E50" s="94"/>
      <x:c r="F50" s="94"/>
      <x:c r="G50" s="94"/>
      <x:c r="H50" s="94"/>
      <x:c r="I50" s="94"/>
      <x:c r="J50" s="94"/>
      <x:c r="K50" s="2"/>
      <x:c r="L50" s="2"/>
      <x:c r="M50" s="2"/>
      <x:c r="N50" s="2"/>
      <x:c r="O50" s="2"/>
      <x:c r="P50" s="2"/>
      <x:c r="Q50" s="2"/>
      <x:c r="R50" s="2"/>
    </x:row>
    <x:row r="51" ht="19" hidden="0" customHeight="1">
      <x:c r="A51" s="88"/>
      <x:c r="B51" s="88"/>
      <x:c r="C51" s="94"/>
      <x:c r="D51" s="94"/>
      <x:c r="E51" s="94"/>
      <x:c r="F51" s="94"/>
      <x:c r="G51" s="94"/>
      <x:c r="H51" s="94"/>
      <x:c r="I51" s="94"/>
      <x:c r="J51" s="94"/>
      <x:c r="K51" s="2"/>
      <x:c r="L51" s="2"/>
      <x:c r="M51" s="2"/>
      <x:c r="N51" s="2"/>
      <x:c r="O51" s="2"/>
      <x:c r="P51" s="2"/>
      <x:c r="Q51" s="2"/>
      <x:c r="R51" s="2"/>
    </x:row>
    <x:row r="52" ht="19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  <x:c r="K52" s="2"/>
      <x:c r="L52" s="2"/>
      <x:c r="M52" s="2"/>
      <x:c r="N52" s="2"/>
      <x:c r="O52" s="2"/>
      <x:c r="P52" s="2"/>
      <x:c r="Q52" s="2"/>
      <x:c r="R52" s="2"/>
    </x:row>
    <x:row r="53" ht="19" hidden="0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  <x:c r="K53" s="2"/>
      <x:c r="L53" s="2"/>
      <x:c r="M53" s="2"/>
      <x:c r="N53" s="2"/>
      <x:c r="O53" s="2"/>
      <x:c r="P53" s="2"/>
      <x:c r="Q53" s="2"/>
      <x:c r="R53" s="2"/>
    </x:row>
    <x:row r="54" ht="19" hidden="0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  <x:c r="K54" s="2"/>
      <x:c r="L54" s="2"/>
      <x:c r="M54" s="2"/>
      <x:c r="N54" s="2"/>
      <x:c r="O54" s="2"/>
      <x:c r="P54" s="2"/>
      <x:c r="Q54" s="2"/>
      <x:c r="R54" s="2"/>
    </x:row>
    <x:row r="55" ht="19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  <x:c r="K55" s="2"/>
      <x:c r="L55" s="2"/>
      <x:c r="M55" s="2"/>
      <x:c r="N55" s="2"/>
      <x:c r="O55" s="2"/>
      <x:c r="P55" s="2"/>
      <x:c r="Q55" s="2"/>
      <x:c r="R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</x:row>
  </x:sheetData>
  <x:mergeCells>
    <x:mergeCell ref="A1:J1"/>
    <x:mergeCell ref="A2:J3"/>
    <x:mergeCell ref="B41:J43"/>
    <x:mergeCell ref="B45:J47"/>
    <x:mergeCell ref="C50:J51"/>
  </x:mergeCells>
  <x:pageMargins left="0.7" right="0.7" top="0.75" bottom="0.75" header="0.3" footer="0.3"/>
  <x:drawing xmlns:r="http://schemas.openxmlformats.org/officeDocument/2006/relationships" r:id="Rbcc8671716384e6d"/>
</x:worksheet>
</file>

<file path=xl/worksheets/sheet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6" width="13" hidden="0" customWidth="1"/>
    <x:col min="8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ASSUMPTIONS | CHANGE THE DRIVERS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Blue cells are assumptions. Base follows the current revenue anchor; upside and downside change remaining-year revenue and margins.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111" t="str">
        <x:v>Scenario: 1 Base / 2 Upside / 3 Downside</x:v>
      </x:c>
      <x:c r="C5" s="137" t="n">
        <x:v>1</x:v>
      </x:c>
      <x:c r="D5" s="88"/>
      <x:c r="E5" s="88"/>
      <x:c r="F5" s="88"/>
      <x:c r="G5" s="88"/>
      <x:c r="H5" s="88"/>
      <x:c r="I5" s="88"/>
      <x:c r="J5" s="88"/>
    </x:row>
    <x:row r="6" ht="19" hidden="0" customHeight="1">
      <x:c r="A6" s="88"/>
      <x:c r="B6" s="88" t="str">
        <x:v>Active case</x:v>
      </x:c>
      <x:c r="C6" s="114" t="str">
        <x:f aca="0">CHOOSE(C5,"BASE","UPSIDE","DOWNSIDE")</x:f>
        <x:v>BASE</x:v>
      </x:c>
      <x:c r="D6" s="88"/>
      <x:c r="E6" s="88"/>
      <x:c r="F6" s="88"/>
      <x:c r="G6" s="88"/>
      <x:c r="H6" s="88"/>
      <x:c r="I6" s="88"/>
      <x:c r="J6" s="88"/>
    </x:row>
    <x:row r="7" ht="19" hidden="0" customHeight="1">
      <x:c r="A7" s="88"/>
      <x:c r="B7" s="88"/>
      <x:c r="C7" s="88"/>
      <x:c r="D7" s="88"/>
      <x:c r="E7" s="88"/>
      <x:c r="F7" s="88"/>
      <x:c r="G7" s="88"/>
      <x:c r="H7" s="88"/>
      <x:c r="I7" s="88"/>
      <x:c r="J7" s="88"/>
    </x:row>
    <x:row r="8" ht="19" hidden="0" customHeight="1">
      <x:c r="A8" s="111"/>
      <x:c r="B8" s="111"/>
      <x:c r="C8" s="111" t="str">
        <x:v>Base</x:v>
      </x:c>
      <x:c r="D8" s="111" t="str">
        <x:v>Upside</x:v>
      </x:c>
      <x:c r="E8" s="111" t="str">
        <x:v>Downside</x:v>
      </x:c>
      <x:c r="F8" s="111" t="str">
        <x:v>Active</x:v>
      </x:c>
      <x:c r="G8" s="111"/>
      <x:c r="H8" s="111"/>
      <x:c r="I8" s="88"/>
      <x:c r="J8" s="88"/>
    </x:row>
    <x:row r="9" ht="19" hidden="0" customHeight="1">
      <x:c r="A9" s="88"/>
      <x:c r="B9" s="88"/>
      <x:c r="C9" s="114"/>
      <x:c r="D9" s="114"/>
      <x:c r="E9" s="114"/>
      <x:c r="F9" s="114"/>
      <x:c r="G9" s="88"/>
      <x:c r="H9" s="88"/>
      <x:c r="I9" s="88"/>
      <x:c r="J9" s="88"/>
    </x:row>
    <x:row r="10" ht="19" hidden="0" customHeight="1">
      <x:c r="A10" s="88"/>
      <x:c r="B10" s="88" t="str">
        <x:v>Remaining-year revenue change</x:v>
      </x:c>
      <x:c r="C10" s="140" t="n">
        <x:v>0</x:v>
      </x:c>
      <x:c r="D10" s="140" t="n">
        <x:v>0.04</x:v>
      </x:c>
      <x:c r="E10" s="140" t="n">
        <x:v>-0.06</x:v>
      </x:c>
      <x:c r="F10" s="141" t="n">
        <x:f aca="0">CHOOSE($C$5,C10,D10,E10)</x:f>
        <x:v>0</x:v>
      </x:c>
      <x:c r="G10" s="88"/>
      <x:c r="H10" s="125"/>
      <x:c r="I10" s="88"/>
      <x:c r="J10" s="88"/>
    </x:row>
    <x:row r="11" ht="19" hidden="0" customHeight="1">
      <x:c r="A11" s="88"/>
      <x:c r="B11" s="88" t="str">
        <x:v>Later annual core revenue growth</x:v>
      </x:c>
      <x:c r="C11" s="140" t="n">
        <x:v>0.08</x:v>
      </x:c>
      <x:c r="D11" s="140" t="n">
        <x:v>0.11</x:v>
      </x:c>
      <x:c r="E11" s="140" t="n">
        <x:v>0.025</x:v>
      </x:c>
      <x:c r="F11" s="141" t="n">
        <x:f aca="0">CHOOSE($C$5,C11,D11,E11)</x:f>
        <x:v>0.08</x:v>
      </x:c>
      <x:c r="G11" s="88"/>
      <x:c r="H11" s="125"/>
      <x:c r="I11" s="88"/>
      <x:c r="J11" s="88"/>
    </x:row>
    <x:row r="12" ht="19" hidden="0" customHeight="1">
      <x:c r="A12" s="88"/>
      <x:c r="B12" s="88" t="str">
        <x:v>Current full-year operating margin</x:v>
      </x:c>
      <x:c r="C12" s="140" t="n">
        <x:v>0.201</x:v>
      </x:c>
      <x:c r="D12" s="140" t="n">
        <x:v>0.221</x:v>
      </x:c>
      <x:c r="E12" s="140" t="n">
        <x:v>0.171</x:v>
      </x:c>
      <x:c r="F12" s="141" t="n">
        <x:f aca="0">CHOOSE($C$5,C12,D12,E12)</x:f>
        <x:v>0.201</x:v>
      </x:c>
      <x:c r="G12" s="88"/>
      <x:c r="H12" s="125"/>
      <x:c r="I12" s="88"/>
      <x:c r="J12" s="88"/>
    </x:row>
    <x:row r="13" ht="19" hidden="0" customHeight="1">
      <x:c r="A13" s="88"/>
      <x:c r="B13" s="88" t="str">
        <x:v>Annual margin change</x:v>
      </x:c>
      <x:c r="C13" s="140" t="n">
        <x:v>0.003</x:v>
      </x:c>
      <x:c r="D13" s="140" t="n">
        <x:v>0.005</x:v>
      </x:c>
      <x:c r="E13" s="140" t="n">
        <x:v>-0.001</x:v>
      </x:c>
      <x:c r="F13" s="141" t="n">
        <x:f aca="0">CHOOSE($C$5,C13,D13,E13)</x:f>
        <x:v>0.003</x:v>
      </x:c>
      <x:c r="G13" s="88"/>
      <x:c r="H13" s="125"/>
      <x:c r="I13" s="88"/>
      <x:c r="J13" s="88"/>
    </x:row>
    <x:row r="14" ht="19" hidden="0" customHeight="1">
      <x:c r="A14" s="88"/>
      <x:c r="B14" s="88" t="str">
        <x:v>Normalized tax rate</x:v>
      </x:c>
      <x:c r="C14" s="140" t="n">
        <x:v>0.225</x:v>
      </x:c>
      <x:c r="D14" s="140" t="n">
        <x:v>0.225</x:v>
      </x:c>
      <x:c r="E14" s="140" t="n">
        <x:v>0.24</x:v>
      </x:c>
      <x:c r="F14" s="141" t="n">
        <x:f aca="0">CHOOSE($C$5,C14,D14,E14)</x:f>
        <x:v>0.225</x:v>
      </x:c>
      <x:c r="G14" s="88"/>
      <x:c r="H14" s="125"/>
      <x:c r="I14" s="88"/>
      <x:c r="J14" s="88"/>
    </x:row>
    <x:row r="15" ht="19" hidden="0" customHeight="1">
      <x:c r="A15" s="88"/>
      <x:c r="B15" s="88" t="str">
        <x:v>PP&amp;E depreciation / revenue</x:v>
      </x:c>
      <x:c r="C15" s="140" t="n">
        <x:v>0.015</x:v>
      </x:c>
      <x:c r="D15" s="140" t="n">
        <x:v>0.015</x:v>
      </x:c>
      <x:c r="E15" s="140" t="n">
        <x:v>0.015</x:v>
      </x:c>
      <x:c r="F15" s="141" t="n">
        <x:f aca="0">CHOOSE($C$5,C15,D15,E15)</x:f>
        <x:v>0.015</x:v>
      </x:c>
      <x:c r="G15" s="88"/>
      <x:c r="H15" s="125"/>
      <x:c r="I15" s="88"/>
      <x:c r="J15" s="88"/>
    </x:row>
    <x:row r="16" ht="19" hidden="0" customHeight="1">
      <x:c r="A16" s="88"/>
      <x:c r="B16" s="88" t="str">
        <x:v>Current full-year capex / revenue</x:v>
      </x:c>
      <x:c r="C16" s="140" t="n">
        <x:v>0.014</x:v>
      </x:c>
      <x:c r="D16" s="140" t="n">
        <x:v>0.014</x:v>
      </x:c>
      <x:c r="E16" s="140" t="n">
        <x:v>0.017</x:v>
      </x:c>
      <x:c r="F16" s="141" t="n">
        <x:f aca="0">CHOOSE($C$5,C16,D16,E16)</x:f>
        <x:v>0.014</x:v>
      </x:c>
      <x:c r="G16" s="88"/>
      <x:c r="H16" s="125"/>
      <x:c r="I16" s="88"/>
      <x:c r="J16" s="88"/>
    </x:row>
    <x:row r="17" ht="19" hidden="0" customHeight="1">
      <x:c r="A17" s="88"/>
      <x:c r="B17" s="88" t="str">
        <x:v>Later annual capex / revenue</x:v>
      </x:c>
      <x:c r="C17" s="140" t="n">
        <x:v>0.017</x:v>
      </x:c>
      <x:c r="D17" s="140" t="n">
        <x:v>0.017</x:v>
      </x:c>
      <x:c r="E17" s="140" t="n">
        <x:v>0.02</x:v>
      </x:c>
      <x:c r="F17" s="141" t="n">
        <x:f aca="0">CHOOSE($C$5,C17,D17,E17)</x:f>
        <x:v>0.017</x:v>
      </x:c>
      <x:c r="G17" s="88"/>
      <x:c r="H17" s="125"/>
      <x:c r="I17" s="88"/>
      <x:c r="J17" s="88"/>
    </x:row>
    <x:row r="18" ht="19" hidden="0" customHeight="1">
      <x:c r="A18" s="88"/>
      <x:c r="B18" s="88" t="str">
        <x:v>Annual dividend growth</x:v>
      </x:c>
      <x:c r="C18" s="140" t="n">
        <x:v>0.03</x:v>
      </x:c>
      <x:c r="D18" s="140" t="n">
        <x:v>0.05</x:v>
      </x:c>
      <x:c r="E18" s="140" t="n">
        <x:v>0</x:v>
      </x:c>
      <x:c r="F18" s="141" t="n">
        <x:f aca="0">CHOOSE($C$5,C18,D18,E18)</x:f>
        <x:v>0.03</x:v>
      </x:c>
      <x:c r="G18" s="88"/>
      <x:c r="H18" s="125"/>
      <x:c r="I18" s="88"/>
      <x:c r="J18" s="88"/>
    </x:row>
    <x:row r="19" ht="19" hidden="0" customHeight="1">
      <x:c r="A19" s="88"/>
      <x:c r="B19" s="88" t="str">
        <x:v>Annual buyback budget</x:v>
      </x:c>
      <x:c r="C19" s="144" t="n">
        <x:v>11000</x:v>
      </x:c>
      <x:c r="D19" s="144" t="n">
        <x:v>11000</x:v>
      </x:c>
      <x:c r="E19" s="144" t="n">
        <x:v>3000</x:v>
      </x:c>
      <x:c r="F19" s="145" t="n">
        <x:f aca="0">CHOOSE($C$5,C19,D19,E19)</x:f>
        <x:v>11000</x:v>
      </x:c>
      <x:c r="G19" s="88"/>
      <x:c r="H19" s="125"/>
      <x:c r="I19" s="88"/>
      <x:c r="J19" s="88"/>
    </x:row>
    <x:row r="20" ht="19" hidden="0" customHeight="1">
      <x:c r="A20" s="88"/>
      <x:c r="B20" s="88" t="str">
        <x:v>SBC economic expense / revenue</x:v>
      </x:c>
      <x:c r="C20" s="103" t="n">
        <x:v>0.085</x:v>
      </x:c>
      <x:c r="D20" s="103" t="n">
        <x:v>0.084</x:v>
      </x:c>
      <x:c r="E20" s="103" t="n">
        <x:v>0.08700000000000001</x:v>
      </x:c>
      <x:c r="F20" s="101" t="n">
        <x:f>CHOOSE($C$5,C20,D20,E20)</x:f>
        <x:v>0.085</x:v>
      </x:c>
      <x:c r="G20" s="88"/>
      <x:c r="H20" s="88"/>
      <x:c r="I20" s="88"/>
      <x:c r="J20" s="88"/>
    </x:row>
    <x:row r="21" ht="19" hidden="0" customHeight="1">
      <x:c r="A21" s="111"/>
      <x:c r="B21" s="111" t="str">
        <x:v>Services annual growth (CRM)</x:v>
      </x:c>
      <x:c r="C21" s="148" t="n">
        <x:v>0</x:v>
      </x:c>
      <x:c r="D21" s="148" t="n">
        <x:v>0.03</x:v>
      </x:c>
      <x:c r="E21" s="148" t="n">
        <x:v>-0.05</x:v>
      </x:c>
      <x:c r="F21" s="146" t="n">
        <x:f>CHOOSE($C$5,C21,D21,E21)</x:f>
        <x:v>0</x:v>
      </x:c>
      <x:c r="G21" s="111"/>
      <x:c r="H21" s="111"/>
      <x:c r="I21" s="88"/>
      <x:c r="J21" s="88"/>
    </x:row>
    <x:row r="22" ht="19" hidden="0" customHeight="1">
      <x:c r="A22" s="88"/>
      <x:c r="B22" s="88" t="str">
        <x:v>Borrowing cost / refinancing rate</x:v>
      </x:c>
      <x:c r="C22" s="140" t="n">
        <x:v>0.055</x:v>
      </x:c>
      <x:c r="D22" s="103" t="n">
        <x:v>0.055</x:v>
      </x:c>
      <x:c r="E22" s="103" t="n">
        <x:v>0.07</x:v>
      </x:c>
      <x:c r="F22" s="101" t="n">
        <x:f>CHOOSE($C$5,C22,D22,E22)</x:f>
        <x:v>0.055</x:v>
      </x:c>
      <x:c r="G22" s="88"/>
      <x:c r="H22" s="125"/>
      <x:c r="I22" s="88"/>
      <x:c r="J22" s="88"/>
    </x:row>
    <x:row r="23" ht="19" hidden="0" customHeight="1">
      <x:c r="A23" s="88"/>
      <x:c r="B23" s="88"/>
      <x:c r="C23" s="127"/>
      <x:c r="D23" s="88"/>
      <x:c r="E23" s="88"/>
      <x:c r="F23" s="88"/>
      <x:c r="G23" s="88"/>
      <x:c r="H23" s="125"/>
      <x:c r="I23" s="88"/>
      <x:c r="J23" s="88"/>
    </x:row>
    <x:row r="24" ht="19" hidden="0" customHeight="1">
      <x:c r="A24" s="88"/>
      <x:c r="B24" s="88"/>
      <x:c r="C24" s="128"/>
      <x:c r="D24" s="88"/>
      <x:c r="E24" s="88"/>
      <x:c r="F24" s="88"/>
      <x:c r="G24" s="88"/>
      <x:c r="H24" s="125"/>
      <x:c r="I24" s="88"/>
      <x:c r="J24" s="88"/>
    </x:row>
    <x:row r="25" ht="24" hidden="0" customHeight="1">
      <x:c r="A25" s="88"/>
      <x:c r="B25" s="105" t="str">
        <x:v>Valuation assumptions — analyst inputs, not live quotes</x:v>
      </x:c>
      <x:c r="C25" s="151"/>
      <x:c r="D25" s="105"/>
      <x:c r="E25" s="105"/>
      <x:c r="F25" s="105"/>
      <x:c r="G25" s="105"/>
      <x:c r="H25" s="152"/>
      <x:c r="I25" s="105"/>
      <x:c r="J25" s="105"/>
    </x:row>
    <x:row r="26" ht="19" hidden="0" customHeight="1">
      <x:c r="A26" s="88"/>
      <x:c r="B26" s="88"/>
      <x:c r="C26" s="128"/>
      <x:c r="D26" s="88"/>
      <x:c r="E26" s="88"/>
      <x:c r="F26" s="88"/>
      <x:c r="G26" s="88"/>
      <x:c r="H26" s="125"/>
      <x:c r="I26" s="88"/>
      <x:c r="J26" s="88"/>
    </x:row>
    <x:row r="27" ht="19" hidden="0" customHeight="1">
      <x:c r="A27" s="88"/>
      <x:c r="B27" s="88" t="str">
        <x:v>Risk-free rate</x:v>
      </x:c>
      <x:c r="C27" s="140" t="n">
        <x:v>0.042</x:v>
      </x:c>
      <x:c r="D27" s="88"/>
      <x:c r="E27" s="88"/>
      <x:c r="F27" s="88"/>
      <x:c r="G27" s="88"/>
      <x:c r="H27" s="125"/>
      <x:c r="I27" s="88"/>
      <x:c r="J27" s="88"/>
    </x:row>
    <x:row r="28" ht="19" hidden="0" customHeight="1">
      <x:c r="A28" s="88"/>
      <x:c r="B28" s="88" t="str">
        <x:v>Equity risk premium</x:v>
      </x:c>
      <x:c r="C28" s="140" t="n">
        <x:v>0.05</x:v>
      </x:c>
      <x:c r="D28" s="88"/>
      <x:c r="E28" s="88"/>
      <x:c r="F28" s="88"/>
      <x:c r="G28" s="88"/>
      <x:c r="H28" s="125"/>
      <x:c r="I28" s="88"/>
      <x:c r="J28" s="88"/>
    </x:row>
    <x:row r="29" ht="19" hidden="0" customHeight="1">
      <x:c r="A29" s="88"/>
      <x:c r="B29" s="88" t="str">
        <x:v>Equity beta</x:v>
      </x:c>
      <x:c r="C29" s="153" t="n">
        <x:v>1.2</x:v>
      </x:c>
      <x:c r="D29" s="88"/>
      <x:c r="E29" s="88"/>
      <x:c r="F29" s="88"/>
      <x:c r="G29" s="88"/>
      <x:c r="H29" s="125"/>
      <x:c r="I29" s="88"/>
      <x:c r="J29" s="88"/>
    </x:row>
    <x:row r="30" ht="19" hidden="0" customHeight="1">
      <x:c r="A30" s="88"/>
      <x:c r="B30" s="88" t="str">
        <x:v>Size / specific premium</x:v>
      </x:c>
      <x:c r="C30" s="140" t="n">
        <x:v>0</x:v>
      </x:c>
      <x:c r="D30" s="88"/>
      <x:c r="E30" s="88"/>
      <x:c r="F30" s="88"/>
      <x:c r="G30" s="88"/>
      <x:c r="H30" s="125"/>
      <x:c r="I30" s="88"/>
      <x:c r="J30" s="88"/>
    </x:row>
    <x:row r="31" ht="19" hidden="0" customHeight="1">
      <x:c r="A31" s="88"/>
      <x:c r="B31" s="88" t="str">
        <x:v>Terminal growth</x:v>
      </x:c>
      <x:c r="C31" s="140" t="n">
        <x:v>0.03</x:v>
      </x:c>
      <x:c r="D31" s="88"/>
      <x:c r="E31" s="88"/>
      <x:c r="F31" s="88"/>
      <x:c r="G31" s="88"/>
      <x:c r="H31" s="125"/>
      <x:c r="I31" s="88"/>
      <x:c r="J31" s="88"/>
    </x:row>
    <x:row r="32" ht="19" hidden="0" customHeight="1">
      <x:c r="A32" s="88"/>
      <x:c r="B32" s="88" t="str">
        <x:v>Terminal EV / after-rent EBITDA</x:v>
      </x:c>
      <x:c r="C32" s="156" t="n">
        <x:v>16</x:v>
      </x:c>
      <x:c r="D32" s="88"/>
      <x:c r="E32" s="88"/>
      <x:c r="F32" s="88"/>
      <x:c r="G32" s="88"/>
      <x:c r="H32" s="125"/>
      <x:c r="I32" s="88"/>
      <x:c r="J32" s="88"/>
    </x:row>
    <x:row r="33" ht="19" hidden="0" customHeight="1">
      <x:c r="A33" s="88"/>
      <x:c r="B33" s="88" t="str">
        <x:v>WACC override (0 = calculated)</x:v>
      </x:c>
      <x:c r="C33" s="140" t="n">
        <x:v>0</x:v>
      </x:c>
      <x:c r="D33" s="88"/>
      <x:c r="E33" s="88"/>
      <x:c r="F33" s="88"/>
      <x:c r="G33" s="88"/>
      <x:c r="H33" s="125"/>
      <x:c r="I33" s="88"/>
      <x:c r="J33" s="88"/>
    </x:row>
    <x:row r="34" ht="19" hidden="0" customHeight="1">
      <x:c r="A34" s="88"/>
      <x:c r="B34" s="88" t="str">
        <x:v>Midyear discounting (1=yes, 0=no)</x:v>
      </x:c>
      <x:c r="C34" s="157" t="n">
        <x:v>1</x:v>
      </x:c>
      <x:c r="D34" s="88"/>
      <x:c r="E34" s="88"/>
      <x:c r="F34" s="88"/>
      <x:c r="G34" s="88"/>
      <x:c r="H34" s="125"/>
      <x:c r="I34" s="88"/>
      <x:c r="J34" s="88"/>
    </x:row>
    <x:row r="35" ht="19" hidden="0" customHeight="1">
      <x:c r="A35" s="88"/>
      <x:c r="B35" s="88" t="str">
        <x:v>Selected EBITDA multiple — low</x:v>
      </x:c>
      <x:c r="C35" s="156" t="n">
        <x:v>16</x:v>
      </x:c>
      <x:c r="D35" s="88"/>
      <x:c r="E35" s="88"/>
      <x:c r="F35" s="88"/>
      <x:c r="G35" s="88"/>
      <x:c r="H35" s="125"/>
      <x:c r="I35" s="88"/>
      <x:c r="J35" s="88"/>
    </x:row>
    <x:row r="36" ht="19" hidden="0" customHeight="1">
      <x:c r="A36" s="88"/>
      <x:c r="B36" s="88" t="str">
        <x:v>Selected EBITDA multiple — high</x:v>
      </x:c>
      <x:c r="C36" s="160" t="n">
        <x:v>20</x:v>
      </x:c>
      <x:c r="D36" s="88"/>
      <x:c r="E36" s="88"/>
      <x:c r="F36" s="88"/>
      <x:c r="G36" s="88"/>
      <x:c r="H36" s="88"/>
      <x:c r="I36" s="88"/>
      <x:c r="J36" s="88"/>
    </x:row>
    <x:row r="37" ht="19" hidden="0" customHeight="1">
      <x:c r="A37" s="88"/>
      <x:c r="B37" s="88" t="str">
        <x:v>Selected EV / sales — low</x:v>
      </x:c>
      <x:c r="C37" s="160" t="n">
        <x:v>4</x:v>
      </x:c>
      <x:c r="D37" s="88"/>
      <x:c r="E37" s="88"/>
      <x:c r="F37" s="88"/>
      <x:c r="G37" s="88"/>
      <x:c r="H37" s="88"/>
      <x:c r="I37" s="88"/>
      <x:c r="J37" s="88"/>
    </x:row>
    <x:row r="38" ht="19" hidden="0" customHeight="1">
      <x:c r="A38" s="88"/>
      <x:c r="B38" s="88" t="str">
        <x:v>Selected EV / sales — high</x:v>
      </x:c>
      <x:c r="C38" s="160" t="n">
        <x:v>6</x:v>
      </x:c>
      <x:c r="D38" s="88"/>
      <x:c r="E38" s="88"/>
      <x:c r="F38" s="88"/>
      <x:c r="G38" s="88"/>
      <x:c r="H38" s="88"/>
      <x:c r="I38" s="88"/>
      <x:c r="J38" s="88"/>
    </x:row>
    <x:row r="39" ht="19" hidden="0" customHeight="1">
      <x:c r="A39" s="88"/>
      <x:c r="B39" s="88" t="str">
        <x:v>Buyer premium</x:v>
      </x:c>
      <x:c r="C39" s="103" t="n">
        <x:v>0.25</x:v>
      </x:c>
      <x:c r="D39" s="88"/>
      <x:c r="E39" s="88"/>
      <x:c r="F39" s="88"/>
      <x:c r="G39" s="88"/>
      <x:c r="H39" s="88"/>
      <x:c r="I39" s="88"/>
      <x:c r="J39" s="88"/>
    </x:row>
    <x:row r="40" ht="19" hidden="0" customHeight="1">
      <x:c r="A40" s="88"/>
      <x:c r="B40" s="88" t="str">
        <x:v>Acquisition leverage / annual EBITDA</x:v>
      </x:c>
      <x:c r="C40" s="160" t="n">
        <x:v>4</x:v>
      </x:c>
      <x:c r="D40" s="88"/>
      <x:c r="E40" s="88"/>
      <x:c r="F40" s="88"/>
      <x:c r="G40" s="88"/>
      <x:c r="H40" s="88"/>
      <x:c r="I40" s="88"/>
      <x:c r="J40" s="88"/>
    </x:row>
    <x:row r="41" ht="19" hidden="0" customHeight="1">
      <x:c r="A41" s="88"/>
      <x:c r="B41" s="88" t="str">
        <x:v>Transaction fees / entry EV</x:v>
      </x:c>
      <x:c r="C41" s="103" t="n">
        <x:v>0.02</x:v>
      </x:c>
      <x:c r="D41" s="88"/>
      <x:c r="E41" s="88"/>
      <x:c r="F41" s="88"/>
      <x:c r="G41" s="88"/>
      <x:c r="H41" s="88"/>
      <x:c r="I41" s="88"/>
      <x:c r="J41" s="88"/>
    </x:row>
    <x:row r="42" ht="19" hidden="0" customHeight="1">
      <x:c r="A42" s="88"/>
      <x:c r="B42" s="88" t="str">
        <x:v>Buyer return hurdle</x:v>
      </x:c>
      <x:c r="C42" s="103" t="n">
        <x:v>0.2</x:v>
      </x:c>
      <x:c r="D42" s="88"/>
      <x:c r="E42" s="88"/>
      <x:c r="F42" s="88"/>
      <x:c r="G42" s="88"/>
      <x:c r="H42" s="88"/>
      <x:c r="I42" s="88"/>
      <x:c r="J42" s="88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</x:row>
    <x:row r="45" ht="19" hidden="0" customHeight="1">
      <x:c r="A45" s="88"/>
      <x:c r="B45" s="107" t="str">
        <x:v>SBC is already an expense in the base operating margin. Changes to its percentage change EBIT and DCF cash flow. Future share issuance is shown for EPS; DCF uses the current diluted-share proxy, so it does not charge future SBC twice.</x:v>
      </x:c>
      <x:c r="C45" s="107"/>
      <x:c r="D45" s="107"/>
      <x:c r="E45" s="107"/>
      <x:c r="F45" s="107"/>
      <x:c r="G45" s="107"/>
      <x:c r="H45" s="107"/>
      <x:c r="I45" s="107"/>
      <x:c r="J45" s="107"/>
    </x:row>
    <x:row r="46" ht="19" hidden="0" customHeight="1">
      <x:c r="A46" s="88"/>
      <x:c r="B46" s="107"/>
      <x:c r="C46" s="107"/>
      <x:c r="D46" s="107"/>
      <x:c r="E46" s="107"/>
      <x:c r="F46" s="107"/>
      <x:c r="G46" s="107"/>
      <x:c r="H46" s="107"/>
      <x:c r="I46" s="107"/>
      <x:c r="J46" s="107"/>
    </x:row>
    <x:row r="47" ht="19" hidden="0" customHeight="1">
      <x:c r="A47" s="88"/>
      <x:c r="B47" s="107"/>
      <x:c r="C47" s="107"/>
      <x:c r="D47" s="107"/>
      <x:c r="E47" s="107"/>
      <x:c r="F47" s="107"/>
      <x:c r="G47" s="107"/>
      <x:c r="H47" s="107"/>
      <x:c r="I47" s="107"/>
      <x:c r="J47" s="107"/>
    </x:row>
    <x:row r="48" ht="19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</x:row>
    <x:row r="49" ht="19" hidden="0" customHeight="1">
      <x:c r="A49" s="88"/>
      <x:c r="B49" s="107" t="str">
        <x:v>Selected peer multiples and beta are valuation assumptions. Compare growth, margins, customer retention and stock compensation when choosing a range.</x:v>
      </x:c>
      <x:c r="C49" s="107"/>
      <x:c r="D49" s="107"/>
      <x:c r="E49" s="107"/>
      <x:c r="F49" s="107"/>
      <x:c r="G49" s="107"/>
      <x:c r="H49" s="107"/>
      <x:c r="I49" s="107"/>
      <x:c r="J49" s="107"/>
    </x:row>
    <x:row r="50" ht="19" hidden="0" customHeight="1">
      <x:c r="A50" s="88"/>
      <x:c r="B50" s="107"/>
      <x:c r="C50" s="107"/>
      <x:c r="D50" s="107"/>
      <x:c r="E50" s="107"/>
      <x:c r="F50" s="107"/>
      <x:c r="G50" s="107"/>
      <x:c r="H50" s="107"/>
      <x:c r="I50" s="107"/>
      <x:c r="J50" s="107"/>
    </x:row>
    <x:row r="51" ht="19" hidden="0" customHeight="1">
      <x:c r="A51" s="88"/>
      <x:c r="B51" s="107"/>
      <x:c r="C51" s="107"/>
      <x:c r="D51" s="107"/>
      <x:c r="E51" s="107"/>
      <x:c r="F51" s="107"/>
      <x:c r="G51" s="107"/>
      <x:c r="H51" s="107"/>
      <x:c r="I51" s="107"/>
      <x:c r="J51" s="107"/>
    </x:row>
    <x:row r="52" ht="19" hidden="0" customHeight="1">
      <x:c r="A52" s="88"/>
      <x:c r="B52" s="88"/>
      <x:c r="C52" s="88"/>
      <x:c r="D52" s="88"/>
      <x:c r="E52" s="88"/>
      <x:c r="F52" s="88"/>
      <x:c r="G52" s="88"/>
      <x:c r="H52" s="88"/>
      <x:c r="I52" s="88"/>
      <x:c r="J52" s="88"/>
    </x:row>
    <x:row r="53" ht="19" hidden="0" customHeight="1">
      <x:c r="A53" s="88"/>
      <x:c r="B53" s="107" t="str">
        <x:v>Year 1 covers H2; the DCF includes cash flows after the valuation date. Revenue excludes $200m from pending acquisitions. The 20.1% starting margin is a planning assumption.</x:v>
      </x:c>
      <x:c r="C53" s="107"/>
      <x:c r="D53" s="107"/>
      <x:c r="E53" s="107"/>
      <x:c r="F53" s="107"/>
      <x:c r="G53" s="107"/>
      <x:c r="H53" s="107"/>
      <x:c r="I53" s="107"/>
      <x:c r="J53" s="107"/>
    </x:row>
    <x:row r="54" ht="19" hidden="0" customHeight="1">
      <x:c r="A54" s="88"/>
      <x:c r="B54" s="107"/>
      <x:c r="C54" s="107"/>
      <x:c r="D54" s="107"/>
      <x:c r="E54" s="107"/>
      <x:c r="F54" s="107"/>
      <x:c r="G54" s="107"/>
      <x:c r="H54" s="107"/>
      <x:c r="I54" s="107"/>
      <x:c r="J54" s="107"/>
    </x:row>
    <x:row r="55" ht="19" hidden="0" customHeight="1">
      <x:c r="A55" s="88"/>
      <x:c r="B55" s="107"/>
      <x:c r="C55" s="107"/>
      <x:c r="D55" s="107"/>
      <x:c r="E55" s="107"/>
      <x:c r="F55" s="107"/>
      <x:c r="G55" s="107"/>
      <x:c r="H55" s="107"/>
      <x:c r="I55" s="107"/>
      <x:c r="J55" s="107"/>
    </x:row>
    <x:row r="56" ht="19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</x:row>
    <x:row r="57" ht="19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</x:row>
    <x:row r="58" ht="19" hidden="0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</x:row>
    <x:row r="59" ht="19" hidden="0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</x:row>
    <x:row r="60" ht="19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</x:row>
    <x:row r="61" ht="19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</x:row>
    <x:row r="62" ht="19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</x:row>
    <x:row r="63" ht="19" hidden="0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</x:row>
    <x:row r="64" ht="19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</x:row>
    <x:row r="65" ht="19" hidden="0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J1"/>
    <x:mergeCell ref="A2:J3"/>
    <x:mergeCell ref="B25:J25"/>
    <x:mergeCell ref="B45:J47"/>
    <x:mergeCell ref="B49:J51"/>
    <x:mergeCell ref="B53:J55"/>
  </x:mergeCells>
  <x:dataValidations count="1">
    <x:dataValidation type="list" sqref="C5">
      <x:formula1>"1,2,3"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5.5" hidden="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2"/>
      <x:c r="J1" s="2"/>
    </x:row>
    <x:row r="2" ht="13.5" hidden="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 ht="15" hidden="0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>
      <x:c r="A4" s="15" t="s">
        <x:v>2</x:v>
      </x:c>
      <x:c r="B4" s="15"/>
      <x:c r="C4" s="15"/>
      <x:c r="D4" s="15"/>
      <x:c r="E4" s="15"/>
      <x:c r="F4" s="15"/>
      <x:c r="G4" s="15"/>
      <x:c r="H4" s="15"/>
      <x:c r="I4" s="2"/>
      <x:c r="J4" s="2"/>
    </x:row>
    <x:row r="5" ht="15" hidden="0">
      <x:c r="A5" s="2"/>
      <x:c r="B5" s="6" t="s">
        <x:v>3</x:v>
      </x:c>
      <x:c r="C5" s="16" t="s">
        <x:v>4</x:v>
      </x:c>
      <x:c r="D5" s="16" t="s">
        <x:v>5</x:v>
      </x:c>
      <x:c r="E5" s="16" t="s">
        <x:v>6</x:v>
      </x:c>
      <x:c r="F5" s="16" t="s">
        <x:v>7</x:v>
      </x:c>
      <x:c r="G5" s="16" t="s">
        <x:v>8</x:v>
      </x:c>
      <x:c r="H5" s="2"/>
      <x:c r="I5" s="2"/>
      <x:c r="J5" s="2"/>
    </x:row>
    <x:row r="6" ht="15" hidden="0">
      <x:c r="A6" s="2"/>
      <x:c r="B6" s="2"/>
      <x:c r="C6" s="36" t="s">
        <x:v>9</x:v>
      </x:c>
      <x:c r="D6" s="36" t="s">
        <x:v>10</x:v>
      </x:c>
      <x:c r="E6" s="36" t="s">
        <x:v>11</x:v>
      </x:c>
      <x:c r="F6" s="36" t="s">
        <x:v>12</x:v>
      </x:c>
      <x:c r="G6" s="36" t="s">
        <x:v>13</x:v>
      </x:c>
      <x:c r="H6" s="2"/>
      <x:c r="I6" s="2"/>
      <x:c r="J6" s="2"/>
    </x:row>
    <x:row r="7" ht="15" hidden="0">
      <x:c r="A7" s="2"/>
      <x:c r="B7" s="6" t="s">
        <x:v>14</x:v>
      </x:c>
      <x:c r="C7" s="37" t="n">
        <x:v>26492</x:v>
      </x:c>
      <x:c r="D7" s="37" t="n">
        <x:v>31352</x:v>
      </x:c>
      <x:c r="E7" s="37" t="n">
        <x:v>34857</x:v>
      </x:c>
      <x:c r="F7" s="37" t="n">
        <x:v>37895</x:v>
      </x:c>
      <x:c r="G7" s="37" t="n">
        <x:v>41525</x:v>
      </x:c>
      <x:c r="H7" s="2"/>
      <x:c r="I7" s="2"/>
      <x:c r="J7" s="2"/>
    </x:row>
    <x:row r="8" ht="15" hidden="0">
      <x:c r="A8" s="2"/>
      <x:c r="B8" s="7" t="s">
        <x:v>15</x:v>
      </x:c>
      <x:c r="C8" s="38" t="n">
        <x:v>24657</x:v>
      </x:c>
      <x:c r="D8" s="38" t="n">
        <x:v>29021</x:v>
      </x:c>
      <x:c r="E8" s="38" t="n">
        <x:v>32537</x:v>
      </x:c>
      <x:c r="F8" s="38" t="n">
        <x:v>35679</x:v>
      </x:c>
      <x:c r="G8" s="38" t="n">
        <x:v>39388</x:v>
      </x:c>
      <x:c r="H8" s="2"/>
      <x:c r="I8" s="2"/>
      <x:c r="J8" s="2"/>
    </x:row>
    <x:row r="9" ht="15" hidden="0">
      <x:c r="A9" s="2"/>
      <x:c r="B9" s="7" t="s">
        <x:v>16</x:v>
      </x:c>
      <x:c r="C9" s="38" t="n">
        <x:v>1835</x:v>
      </x:c>
      <x:c r="D9" s="38" t="n">
        <x:v>2331</x:v>
      </x:c>
      <x:c r="E9" s="38" t="n">
        <x:v>2320</x:v>
      </x:c>
      <x:c r="F9" s="38" t="n">
        <x:v>2216</x:v>
      </x:c>
      <x:c r="G9" s="38" t="n">
        <x:v>2137</x:v>
      </x:c>
      <x:c r="H9" s="2"/>
      <x:c r="I9" s="2"/>
      <x:c r="J9" s="2"/>
    </x:row>
    <x:row r="10" ht="15" hidden="0">
      <x:c r="A10" s="2"/>
      <x:c r="B10" s="6" t="s">
        <x:v>17</x:v>
      </x:c>
      <x:c r="C10" s="37" t="n">
        <x:v>19466</x:v>
      </x:c>
      <x:c r="D10" s="37" t="n">
        <x:v>22992</x:v>
      </x:c>
      <x:c r="E10" s="37" t="n">
        <x:v>26316</x:v>
      </x:c>
      <x:c r="F10" s="37" t="n">
        <x:v>29252</x:v>
      </x:c>
      <x:c r="G10" s="37" t="n">
        <x:v>32255</x:v>
      </x:c>
      <x:c r="H10" s="2"/>
      <x:c r="I10" s="2"/>
      <x:c r="J10" s="2"/>
    </x:row>
    <x:row r="11" ht="15" hidden="0">
      <x:c r="A11" s="2"/>
      <x:c r="B11" s="39" t="s">
        <x:v>18</x:v>
      </x:c>
      <x:c r="C11" s="40" t="n">
        <x:f aca="0">C10/C7</x:f>
        <x:v>0.7347878604861845</x:v>
      </x:c>
      <x:c r="D11" s="40" t="n">
        <x:f aca="0">D10/D7</x:f>
        <x:v>0.7333503444756315</x:v>
      </x:c>
      <x:c r="E11" s="40" t="n">
        <x:f aca="0">E10/E7</x:f>
        <x:v>0.7549703072553576</x:v>
      </x:c>
      <x:c r="F11" s="40" t="n">
        <x:f aca="0">F10/F7</x:f>
        <x:v>0.7719224172054361</x:v>
      </x:c>
      <x:c r="G11" s="40" t="n">
        <x:f aca="0">G10/G7</x:f>
        <x:v>0.7767609873570138</x:v>
      </x:c>
      <x:c r="H11" s="2"/>
      <x:c r="I11" s="2"/>
      <x:c r="J11" s="2"/>
    </x:row>
    <x:row r="12" ht="15" hidden="0">
      <x:c r="A12" s="2"/>
      <x:c r="B12" s="6" t="s">
        <x:v>19</x:v>
      </x:c>
      <x:c r="C12" s="162" t="n">
        <x:v>548</x:v>
      </x:c>
      <x:c r="D12" s="162" t="n">
        <x:v>1030</x:v>
      </x:c>
      <x:c r="E12" s="162" t="n">
        <x:v>5011</x:v>
      </x:c>
      <x:c r="F12" s="162" t="n">
        <x:v>7205</x:v>
      </x:c>
      <x:c r="G12" s="162" t="n">
        <x:v>8331</x:v>
      </x:c>
      <x:c r="H12" s="2"/>
      <x:c r="I12" s="2"/>
      <x:c r="J12" s="2"/>
    </x:row>
    <x:row r="13" ht="15" hidden="0">
      <x:c r="A13" s="2"/>
      <x:c r="B13" s="39" t="s">
        <x:v>20</x:v>
      </x:c>
      <x:c r="C13" s="40" t="n">
        <x:f aca="0">C12/C7</x:f>
        <x:v>0.020685489959232976</x:v>
      </x:c>
      <x:c r="D13" s="40" t="n">
        <x:f aca="0">D12/D7</x:f>
        <x:v>0.03285276856340903</x:v>
      </x:c>
      <x:c r="E13" s="40" t="n">
        <x:f aca="0">E12/E7</x:f>
        <x:v>0.14375878589666352</x:v>
      </x:c>
      <x:c r="F13" s="40" t="n">
        <x:f aca="0">F12/F7</x:f>
        <x:v>0.19013062409288825</x:v>
      </x:c>
      <x:c r="G13" s="40" t="n">
        <x:f aca="0">G12/G7</x:f>
        <x:v>0.20062612883804937</x:v>
      </x:c>
      <x:c r="H13" s="2"/>
      <x:c r="I13" s="2"/>
      <x:c r="J13" s="2"/>
    </x:row>
    <x:row r="14" ht="15" hidden="0">
      <x:c r="A14" s="2"/>
      <x:c r="B14" s="163" t="str">
        <x:v>Reported D&amp;A (includes ROU amortization)</x:v>
      </x:c>
      <x:c r="C14" s="38" t="n">
        <x:v>3298</x:v>
      </x:c>
      <x:c r="D14" s="38" t="n">
        <x:v>3786</x:v>
      </x:c>
      <x:c r="E14" s="38" t="n">
        <x:v>3959</x:v>
      </x:c>
      <x:c r="F14" s="38" t="n">
        <x:v>3477</x:v>
      </x:c>
      <x:c r="G14" s="38" t="n">
        <x:v>3631</x:v>
      </x:c>
      <x:c r="H14" s="2"/>
      <x:c r="I14" s="2"/>
      <x:c r="J14" s="2"/>
    </x:row>
    <x:row r="15" ht="15" hidden="0">
      <x:c r="A15" s="2"/>
      <x:c r="B15" s="164" t="str">
        <x:v>EBIT + reported D&amp;A (definition check)</x:v>
      </x:c>
      <x:c r="C15" s="162" t="n">
        <x:f>C12+C14</x:f>
        <x:v>3846</x:v>
      </x:c>
      <x:c r="D15" s="162" t="n">
        <x:f>D12+D14</x:f>
        <x:v>4816</x:v>
      </x:c>
      <x:c r="E15" s="162" t="n">
        <x:f>E12+E14</x:f>
        <x:v>8970</x:v>
      </x:c>
      <x:c r="F15" s="162" t="n">
        <x:f>F12+F14</x:f>
        <x:v>10682</x:v>
      </x:c>
      <x:c r="G15" s="162" t="n">
        <x:f>G12+G14</x:f>
        <x:v>11962</x:v>
      </x:c>
      <x:c r="H15" s="2"/>
      <x:c r="I15" s="2"/>
      <x:c r="J15" s="2"/>
    </x:row>
    <x:row r="16" ht="15" hidden="0">
      <x:c r="A16" s="2"/>
      <x:c r="B16" s="7" t="s">
        <x:v>21</x:v>
      </x:c>
      <x:c r="C16" s="41" t="n">
        <x:v>2779</x:v>
      </x:c>
      <x:c r="D16" s="41" t="n">
        <x:v>3279</x:v>
      </x:c>
      <x:c r="E16" s="41" t="n">
        <x:v>2787</x:v>
      </x:c>
      <x:c r="F16" s="41" t="n">
        <x:v>3183</x:v>
      </x:c>
      <x:c r="G16" s="41" t="n">
        <x:v>3509</x:v>
      </x:c>
      <x:c r="H16" s="2"/>
      <x:c r="I16" s="2"/>
      <x:c r="J16" s="2"/>
    </x:row>
    <x:row r="17" ht="15" hidden="0">
      <x:c r="A17" s="2"/>
      <x:c r="B17" s="6" t="s">
        <x:v>22</x:v>
      </x:c>
      <x:c r="C17" s="37" t="n">
        <x:v>1444</x:v>
      </x:c>
      <x:c r="D17" s="37" t="n">
        <x:v>208</x:v>
      </x:c>
      <x:c r="E17" s="37" t="n">
        <x:v>4136</x:v>
      </x:c>
      <x:c r="F17" s="37" t="n">
        <x:v>6197</x:v>
      </x:c>
      <x:c r="G17" s="37" t="n">
        <x:v>7457</x:v>
      </x:c>
      <x:c r="H17" s="2"/>
      <x:c r="I17" s="2"/>
      <x:c r="J17" s="2"/>
    </x:row>
    <x:row r="18" ht="15" hidden="0">
      <x:c r="A18" s="2"/>
      <x:c r="B18" s="7" t="s">
        <x:v>23</x:v>
      </x:c>
      <x:c r="C18" s="42" t="n">
        <x:v>1.48</x:v>
      </x:c>
      <x:c r="D18" s="42" t="n">
        <x:v>0.21</x:v>
      </x:c>
      <x:c r="E18" s="42" t="n">
        <x:v>4.2</x:v>
      </x:c>
      <x:c r="F18" s="42" t="n">
        <x:v>6.36</x:v>
      </x:c>
      <x:c r="G18" s="42" t="n">
        <x:v>7.8</x:v>
      </x:c>
      <x:c r="H18" s="2"/>
      <x:c r="I18" s="2"/>
      <x:c r="J18" s="2"/>
    </x:row>
    <x:row r="19" ht="15" hidden="0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>
      <x:c r="A20" s="15" t="s">
        <x:v>24</x:v>
      </x:c>
      <x:c r="B20" s="15"/>
      <x:c r="C20" s="15"/>
      <x:c r="D20" s="15"/>
      <x:c r="E20" s="15"/>
      <x:c r="F20" s="15"/>
      <x:c r="G20" s="15"/>
      <x:c r="H20" s="15"/>
      <x:c r="I20" s="2"/>
      <x:c r="J20" s="2"/>
    </x:row>
    <x:row r="21" ht="15" hidden="0">
      <x:c r="A21" s="2"/>
      <x:c r="B21" s="7" t="s">
        <x:v>25</x:v>
      </x:c>
      <x:c r="C21" s="38" t="n">
        <x:v>6000</x:v>
      </x:c>
      <x:c r="D21" s="38" t="n">
        <x:v>7111</x:v>
      </x:c>
      <x:c r="E21" s="38" t="n">
        <x:v>10234</x:v>
      </x:c>
      <x:c r="F21" s="38" t="n">
        <x:v>13092</x:v>
      </x:c>
      <x:c r="G21" s="38" t="n">
        <x:v>14996</x:v>
      </x:c>
      <x:c r="H21" s="2"/>
      <x:c r="I21" s="2"/>
      <x:c r="J21" s="2"/>
    </x:row>
    <x:row r="22" ht="15" hidden="0">
      <x:c r="A22" s="2"/>
      <x:c r="B22" s="7" t="s">
        <x:v>26</x:v>
      </x:c>
      <x:c r="C22" s="38" t="n">
        <x:v>-717</x:v>
      </x:c>
      <x:c r="D22" s="38" t="n">
        <x:v>-798</x:v>
      </x:c>
      <x:c r="E22" s="38" t="n">
        <x:v>-736</x:v>
      </x:c>
      <x:c r="F22" s="38" t="n">
        <x:v>-658</x:v>
      </x:c>
      <x:c r="G22" s="38" t="n">
        <x:v>-594</x:v>
      </x:c>
      <x:c r="H22" s="2"/>
      <x:c r="I22" s="2"/>
      <x:c r="J22" s="2"/>
    </x:row>
    <x:row r="23" ht="15" hidden="0">
      <x:c r="A23" s="2"/>
      <x:c r="B23" s="6" t="s">
        <x:v>27</x:v>
      </x:c>
      <x:c r="C23" s="162" t="n">
        <x:f>C21+C22</x:f>
        <x:v>5283</x:v>
      </x:c>
      <x:c r="D23" s="162" t="n">
        <x:f>D21+D22</x:f>
        <x:v>6313</x:v>
      </x:c>
      <x:c r="E23" s="162" t="n">
        <x:f>E21+E22</x:f>
        <x:v>9498</x:v>
      </x:c>
      <x:c r="F23" s="162" t="n">
        <x:f>F21+F22</x:f>
        <x:v>12434</x:v>
      </x:c>
      <x:c r="G23" s="162" t="n">
        <x:f>G21+G22</x:f>
        <x:v>14402</x:v>
      </x:c>
      <x:c r="H23" s="2"/>
      <x:c r="I23" s="2"/>
      <x:c r="J23" s="2"/>
    </x:row>
    <x:row r="24" ht="15" hidden="0">
      <x:c r="A24" s="2"/>
      <x:c r="B24" s="7" t="s">
        <x:v>28</x:v>
      </x:c>
      <x:c r="C24" s="38" t="n">
        <x:v>2779</x:v>
      </x:c>
      <x:c r="D24" s="38" t="n">
        <x:v>3279</x:v>
      </x:c>
      <x:c r="E24" s="38" t="n">
        <x:v>2787</x:v>
      </x:c>
      <x:c r="F24" s="38" t="n">
        <x:v>3183</x:v>
      </x:c>
      <x:c r="G24" s="38" t="n">
        <x:v>3509</x:v>
      </x:c>
      <x:c r="H24" s="2"/>
      <x:c r="I24" s="2"/>
      <x:c r="J24" s="2"/>
    </x:row>
    <x:row r="25" ht="15" hidden="0">
      <x:c r="A25" s="2"/>
      <x:c r="B25" s="7" t="s">
        <x:v>29</x:v>
      </x:c>
      <x:c r="C25" s="38" t="n">
        <x:v>0</x:v>
      </x:c>
      <x:c r="D25" s="38" t="n">
        <x:v>-4000</x:v>
      </x:c>
      <x:c r="E25" s="38" t="n">
        <x:v>-7620</x:v>
      </x:c>
      <x:c r="F25" s="38" t="n">
        <x:v>-7829</x:v>
      </x:c>
      <x:c r="G25" s="38" t="n">
        <x:v>-12947</x:v>
      </x:c>
      <x:c r="H25" s="2"/>
      <x:c r="I25" s="2"/>
      <x:c r="J25" s="2"/>
    </x:row>
    <x:row r="26" ht="15" hidden="0">
      <x:c r="A26" s="2"/>
      <x:c r="B26" s="7" t="s">
        <x:v>30</x:v>
      </x:c>
      <x:c r="C26" s="38" t="n">
        <x:v>0</x:v>
      </x:c>
      <x:c r="D26" s="38" t="n">
        <x:v>0</x:v>
      </x:c>
      <x:c r="E26" s="38" t="n">
        <x:v>0</x:v>
      </x:c>
      <x:c r="F26" s="38" t="n">
        <x:v>-1537</x:v>
      </x:c>
      <x:c r="G26" s="38" t="n">
        <x:v>-1587</x:v>
      </x:c>
      <x:c r="H26" s="2"/>
      <x:c r="I26" s="2"/>
      <x:c r="J26" s="2"/>
    </x:row>
    <x:row r="27" ht="15" hidden="0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>
      <x:c r="A28" s="15" t="s">
        <x:v>31</x:v>
      </x:c>
      <x:c r="B28" s="15"/>
      <x:c r="C28" s="15"/>
      <x:c r="D28" s="15"/>
      <x:c r="E28" s="15"/>
      <x:c r="F28" s="15"/>
      <x:c r="G28" s="15"/>
      <x:c r="H28" s="15"/>
      <x:c r="I28" s="2"/>
      <x:c r="J28" s="2"/>
    </x:row>
    <x:row r="29" ht="15" hidden="0">
      <x:c r="A29" s="2"/>
      <x:c r="B29" s="6" t="s">
        <x:v>3</x:v>
      </x:c>
      <x:c r="C29" s="16" t="s">
        <x:v>7</x:v>
      </x:c>
      <x:c r="D29" s="16" t="s">
        <x:v>8</x:v>
      </x:c>
      <x:c r="E29" s="2"/>
      <x:c r="F29" s="2"/>
      <x:c r="G29" s="2"/>
      <x:c r="H29" s="2"/>
      <x:c r="I29" s="2"/>
      <x:c r="J29" s="2"/>
    </x:row>
    <x:row r="30" ht="15" hidden="0">
      <x:c r="A30" s="2"/>
      <x:c r="B30" s="7" t="s">
        <x:v>32</x:v>
      </x:c>
      <x:c r="C30" s="38" t="n">
        <x:v>8848</x:v>
      </x:c>
      <x:c r="D30" s="38" t="n">
        <x:v>7327</x:v>
      </x:c>
      <x:c r="E30" s="2"/>
      <x:c r="F30" s="2"/>
      <x:c r="G30" s="2"/>
      <x:c r="H30" s="2"/>
      <x:c r="I30" s="2"/>
      <x:c r="J30" s="2"/>
    </x:row>
    <x:row r="31" ht="15" hidden="0">
      <x:c r="A31" s="2"/>
      <x:c r="B31" s="7" t="s">
        <x:v>33</x:v>
      </x:c>
      <x:c r="C31" s="38" t="n">
        <x:v>5184</x:v>
      </x:c>
      <x:c r="D31" s="38" t="n">
        <x:v>2238</x:v>
      </x:c>
      <x:c r="E31" s="2"/>
      <x:c r="F31" s="2"/>
      <x:c r="G31" s="2"/>
      <x:c r="H31" s="2"/>
      <x:c r="I31" s="2"/>
      <x:c r="J31" s="2"/>
    </x:row>
    <x:row r="32" ht="15" hidden="0">
      <x:c r="A32" s="2"/>
      <x:c r="B32" s="6" t="s">
        <x:v>34</x:v>
      </x:c>
      <x:c r="C32" s="37" t="n">
        <x:v>29727</x:v>
      </x:c>
      <x:c r="D32" s="37" t="n">
        <x:v>28222</x:v>
      </x:c>
      <x:c r="E32" s="2"/>
      <x:c r="F32" s="2"/>
      <x:c r="G32" s="2"/>
      <x:c r="H32" s="2"/>
      <x:c r="I32" s="2"/>
      <x:c r="J32" s="2"/>
    </x:row>
    <x:row r="33" ht="15" hidden="0">
      <x:c r="A33" s="2"/>
      <x:c r="B33" s="7" t="s">
        <x:v>35</x:v>
      </x:c>
      <x:c r="C33" s="166" t="n">
        <x:v>55711</x:v>
      </x:c>
      <x:c r="D33" s="166" t="n">
        <x:v>64756</x:v>
      </x:c>
      <x:c r="E33" s="2"/>
      <x:c r="F33" s="2"/>
      <x:c r="G33" s="2"/>
      <x:c r="H33" s="2"/>
      <x:c r="I33" s="2"/>
      <x:c r="J33" s="2"/>
    </x:row>
    <x:row r="34" ht="15" hidden="0">
      <x:c r="A34" s="2"/>
      <x:c r="B34" s="6" t="s">
        <x:v>36</x:v>
      </x:c>
      <x:c r="C34" s="37" t="n">
        <x:v>102928</x:v>
      </x:c>
      <x:c r="D34" s="37" t="n">
        <x:v>112305</x:v>
      </x:c>
      <x:c r="E34" s="2"/>
      <x:c r="F34" s="2"/>
      <x:c r="G34" s="2"/>
      <x:c r="H34" s="2"/>
      <x:c r="I34" s="2"/>
      <x:c r="J34" s="2"/>
    </x:row>
    <x:row r="35" ht="15" hidden="0">
      <x:c r="A35" s="2"/>
      <x:c r="B35" s="7" t="s">
        <x:v>37</x:v>
      </x:c>
      <x:c r="C35" s="38" t="n">
        <x:v>0</x:v>
      </x:c>
      <x:c r="D35" s="38" t="n">
        <x:v>4000</x:v>
      </x:c>
      <x:c r="E35" s="2"/>
      <x:c r="F35" s="2"/>
      <x:c r="G35" s="2"/>
      <x:c r="H35" s="2"/>
      <x:c r="I35" s="2"/>
      <x:c r="J35" s="2"/>
    </x:row>
    <x:row r="36" ht="15" hidden="0">
      <x:c r="A36" s="2"/>
      <x:c r="B36" s="7" t="s">
        <x:v>38</x:v>
      </x:c>
      <x:c r="C36" s="38" t="n">
        <x:v>8433</x:v>
      </x:c>
      <x:c r="D36" s="38" t="n">
        <x:v>10439</x:v>
      </x:c>
      <x:c r="E36" s="2"/>
      <x:c r="F36" s="2"/>
      <x:c r="G36" s="2"/>
      <x:c r="H36" s="2"/>
      <x:c r="I36" s="2"/>
      <x:c r="J36" s="2"/>
    </x:row>
    <x:row r="37" ht="15" hidden="0">
      <x:c r="A37" s="2"/>
      <x:c r="B37" s="7" t="s">
        <x:v>39</x:v>
      </x:c>
      <x:c r="C37" s="166" t="n">
        <x:v>2959</x:v>
      </x:c>
      <x:c r="D37" s="166" t="n">
        <x:v>2737</x:v>
      </x:c>
      <x:c r="E37" s="2"/>
      <x:c r="F37" s="2"/>
      <x:c r="G37" s="2"/>
      <x:c r="H37" s="2"/>
      <x:c r="I37" s="2"/>
      <x:c r="J37" s="2"/>
    </x:row>
    <x:row r="38" ht="15" hidden="0">
      <x:c r="A38" s="2"/>
      <x:c r="B38" s="6" t="s">
        <x:v>40</x:v>
      </x:c>
      <x:c r="C38" s="37" t="n">
        <x:v>41755</x:v>
      </x:c>
      <x:c r="D38" s="37" t="n">
        <x:v>53163</x:v>
      </x:c>
      <x:c r="E38" s="2"/>
      <x:c r="F38" s="2"/>
      <x:c r="G38" s="2"/>
      <x:c r="H38" s="2"/>
      <x:c r="I38" s="2"/>
      <x:c r="J38" s="2"/>
    </x:row>
    <x:row r="39" ht="15" hidden="0">
      <x:c r="A39" s="2"/>
      <x:c r="B39" s="6" t="s">
        <x:v>41</x:v>
      </x:c>
      <x:c r="C39" s="37" t="n">
        <x:v>61173</x:v>
      </x:c>
      <x:c r="D39" s="37" t="n">
        <x:v>59142</x:v>
      </x:c>
      <x:c r="E39" s="2"/>
      <x:c r="F39" s="2"/>
      <x:c r="G39" s="2"/>
      <x:c r="H39" s="2"/>
      <x:c r="I39" s="2"/>
      <x:c r="J39" s="2"/>
    </x:row>
    <x:row r="40" ht="15" hidden="0">
      <x:c r="A40" s="2"/>
      <x:c r="B40" s="6" t="s">
        <x:v>42</x:v>
      </x:c>
      <x:c r="C40" s="23" t="n">
        <x:f aca="0">C34-C38-C39</x:f>
        <x:v>0</x:v>
      </x:c>
      <x:c r="D40" s="23" t="n">
        <x:f aca="0">D34-D38-D39</x:f>
        <x:v>0</x:v>
      </x:c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>
      <x:c r="A55" s="2"/>
      <x:c r="B55" s="169" t="str">
        <x:v>Historical figures provide context. Forecast drivers use the latest financial inputs in Verified Inputs. Assumption: prior-period reference figures are used as presented. Reported D&amp;A and peer EBITDA may use different lease definitions.</x:v>
      </x:c>
      <x:c r="C55" s="169"/>
      <x:c r="D55" s="169"/>
      <x:c r="E55" s="169"/>
      <x:c r="F55" s="169"/>
      <x:c r="G55" s="169"/>
      <x:c r="H55" s="169"/>
      <x:c r="I55" s="169"/>
      <x:c r="J55" s="169"/>
    </x:row>
    <x:row r="56" ht="15" hidden="0">
      <x:c r="A56" s="2"/>
      <x:c r="B56" s="169"/>
      <x:c r="C56" s="169"/>
      <x:c r="D56" s="169"/>
      <x:c r="E56" s="169"/>
      <x:c r="F56" s="169"/>
      <x:c r="G56" s="169"/>
      <x:c r="H56" s="169"/>
      <x:c r="I56" s="169"/>
      <x:c r="J56" s="169"/>
    </x:row>
    <x:row r="57" ht="15" hidden="0">
      <x:c r="A57" s="2"/>
      <x:c r="B57" s="169"/>
      <x:c r="C57" s="169"/>
      <x:c r="D57" s="169"/>
      <x:c r="E57" s="169"/>
      <x:c r="F57" s="169"/>
      <x:c r="G57" s="169"/>
      <x:c r="H57" s="169"/>
      <x:c r="I57" s="169"/>
      <x:c r="J57" s="169"/>
    </x:row>
    <x:row r="58" ht="15" hidden="0">
      <x:c r="A58" s="2"/>
      <x:c r="B58" s="169"/>
      <x:c r="C58" s="169"/>
      <x:c r="D58" s="169"/>
      <x:c r="E58" s="169"/>
      <x:c r="F58" s="169"/>
      <x:c r="G58" s="169"/>
      <x:c r="H58" s="169"/>
      <x:c r="I58" s="169"/>
      <x:c r="J58" s="169"/>
    </x:row>
    <x:row r="59" ht="15" hidden="0">
      <x:c r="A59" s="2"/>
      <x:c r="B59" s="169"/>
      <x:c r="C59" s="169"/>
      <x:c r="D59" s="169"/>
      <x:c r="E59" s="169"/>
      <x:c r="F59" s="169"/>
      <x:c r="G59" s="169"/>
      <x:c r="H59" s="169"/>
      <x:c r="I59" s="169"/>
      <x:c r="J59" s="169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1:H1"/>
    <x:mergeCell ref="A2:H2"/>
    <x:mergeCell ref="A4:H4"/>
    <x:mergeCell ref="A20:H20"/>
    <x:mergeCell ref="A28:H28"/>
    <x:mergeCell ref="B55:J5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OPERATING FORECAST | CASH AND EARNINGS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First column is H2 only; later columns are full fiscal years. Operating lease assets/liabilities are held flat; rent remains an expense.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88" t="str">
        <x:v>Fiscal period</x:v>
      </x:c>
      <x:c r="C5" s="128" t="str">
        <x:v>H2 FY2027E</x:v>
      </x:c>
      <x:c r="D5" s="88" t="str">
        <x:v>FY2028E</x:v>
      </x:c>
      <x:c r="E5" s="88" t="str">
        <x:v>FY2029E</x:v>
      </x:c>
      <x:c r="F5" s="88" t="str">
        <x:v>FY2030E</x:v>
      </x:c>
      <x:c r="G5" s="88" t="str">
        <x:v>FY2031E</x:v>
      </x:c>
      <x:c r="H5" s="88"/>
      <x:c r="I5" s="88"/>
      <x:c r="J5" s="88"/>
    </x:row>
    <x:row r="6" ht="19" hidden="0" customHeight="1">
      <x:c r="A6" s="88"/>
      <x:c r="B6" s="88" t="str">
        <x:v>Period end</x:v>
      </x:c>
      <x:c r="C6" s="185" t="n">
        <x:v>46418</x:v>
      </x:c>
      <x:c r="D6" s="93" t="n">
        <x:v>46783</x:v>
      </x:c>
      <x:c r="E6" s="93" t="n">
        <x:v>47149</x:v>
      </x:c>
      <x:c r="F6" s="93" t="n">
        <x:v>47514</x:v>
      </x:c>
      <x:c r="G6" s="93" t="n">
        <x:v>47879</x:v>
      </x:c>
      <x:c r="H6" s="88"/>
      <x:c r="I6" s="88"/>
      <x:c r="J6" s="88"/>
    </x:row>
    <x:row r="7" ht="19" hidden="0" customHeight="1">
      <x:c r="A7" s="88"/>
      <x:c r="B7" s="88" t="str">
        <x:v>Period length in years</x:v>
      </x:c>
      <x:c r="C7" s="187" t="n">
        <x:f>(C6-'Verified Inputs'!$C$6)/365</x:f>
        <x:v>0.5041095890410959</x:v>
      </x:c>
      <x:c r="D7" s="197" t="n">
        <x:f>(D6-C6)/365</x:f>
        <x:v>1</x:v>
      </x:c>
      <x:c r="E7" s="197" t="n">
        <x:f>(E6-D6)/365</x:f>
        <x:v>1.0027397260273974</x:v>
      </x:c>
      <x:c r="F7" s="197" t="n">
        <x:f>(F6-E6)/365</x:f>
        <x:v>1</x:v>
      </x:c>
      <x:c r="G7" s="197" t="n">
        <x:f>(G6-F6)/365</x:f>
        <x:v>1</x:v>
      </x:c>
      <x:c r="H7" s="88"/>
      <x:c r="I7" s="88"/>
      <x:c r="J7" s="88"/>
    </x:row>
    <x:row r="8" ht="24" hidden="0" customHeight="1">
      <x:c r="A8" s="88"/>
      <x:c r="B8" s="105" t="str">
        <x:v>Revenue and operating earnings</x:v>
      </x:c>
      <x:c r="C8" s="105"/>
      <x:c r="D8" s="105"/>
      <x:c r="E8" s="105"/>
      <x:c r="F8" s="105"/>
      <x:c r="G8" s="105"/>
      <x:c r="H8" s="105"/>
      <x:c r="I8" s="105"/>
      <x:c r="J8" s="105"/>
    </x:row>
    <x:row r="9" ht="19" hidden="0" customHeight="1">
      <x:c r="A9" s="111"/>
      <x:c r="B9" s="111" t="str">
        <x:v>Full-year revenue equivalent</x:v>
      </x:c>
      <x:c r="C9" s="189" t="n">
        <x:f>'Verified Inputs'!$C$36+C12</x:f>
        <x:v>46050</x:v>
      </x:c>
      <x:c r="D9" s="188" t="n">
        <x:f>D12</x:f>
        <x:v>49563.04</x:v>
      </x:c>
      <x:c r="E9" s="188" t="n">
        <x:f>E12</x:f>
        <x:v>53357.1232</x:v>
      </x:c>
      <x:c r="F9" s="188" t="n">
        <x:f>F12</x:f>
        <x:v>57454.733056000005</x:v>
      </x:c>
      <x:c r="G9" s="188" t="n">
        <x:f>G12</x:f>
        <x:v>61880.15170048001</x:v>
      </x:c>
      <x:c r="H9" s="111"/>
      <x:c r="I9" s="88"/>
      <x:c r="J9" s="88"/>
    </x:row>
    <x:row r="10" ht="19" hidden="0" customHeight="1">
      <x:c r="A10" s="88"/>
      <x:c r="B10" s="111" t="str">
        <x:v>Core revenue in this period</x:v>
      </x:c>
      <x:c r="C10" s="192" t="n">
        <x:f>('Verified Inputs'!$C$41-'Verified Inputs'!$C$57-'Verified Inputs'!$C$36-('Verified Inputs'!$C$48-'Verified Inputs'!$C$47))*(1+'Assumptions'!$F$10)</x:f>
        <x:v>22500</x:v>
      </x:c>
      <x:c r="D10" s="192" t="n">
        <x:f>(C9-('Verified Inputs'!$C$47+C11))*(1+'Assumptions'!$F$11)</x:f>
        <x:v>47426.04</x:v>
      </x:c>
      <x:c r="E10" s="192" t="n">
        <x:f>(D9-(D11))*(1+'Assumptions'!$F$11)</x:f>
        <x:v>51220.1232</x:v>
      </x:c>
      <x:c r="F10" s="192" t="n">
        <x:f>(E9-(E11))*(1+'Assumptions'!$F$11)</x:f>
        <x:v>55317.733056000005</x:v>
      </x:c>
      <x:c r="G10" s="192" t="n">
        <x:f>(F9-(F11))*(1+'Assumptions'!$F$11)</x:f>
        <x:v>59743.15170048001</x:v>
      </x:c>
      <x:c r="H10" s="88"/>
      <x:c r="I10" s="88"/>
      <x:c r="J10" s="88"/>
    </x:row>
    <x:row r="11" ht="19" hidden="0" customHeight="1">
      <x:c r="A11" s="88"/>
      <x:c r="B11" s="88" t="str">
        <x:v>Services revenue in this period</x:v>
      </x:c>
      <x:c r="C11" s="191" t="n">
        <x:f>'Verified Inputs'!$C$48*(1+'Assumptions'!$F$21)-'Verified Inputs'!$C$47</x:f>
        <x:v>1072</x:v>
      </x:c>
      <x:c r="D11" s="191" t="n">
        <x:f>'Verified Inputs'!$C$48*(1+'Assumptions'!$F$21)^2</x:f>
        <x:v>2137</x:v>
      </x:c>
      <x:c r="E11" s="191" t="n">
        <x:f>'Verified Inputs'!$C$48*(1+'Assumptions'!$F$21)^3</x:f>
        <x:v>2137</x:v>
      </x:c>
      <x:c r="F11" s="191" t="n">
        <x:f>'Verified Inputs'!$C$48*(1+'Assumptions'!$F$21)^4</x:f>
        <x:v>2137</x:v>
      </x:c>
      <x:c r="G11" s="191" t="n">
        <x:f>'Verified Inputs'!$C$48*(1+'Assumptions'!$F$21)^5</x:f>
        <x:v>2137</x:v>
      </x:c>
      <x:c r="H11" s="88"/>
      <x:c r="I11" s="88"/>
      <x:c r="J11" s="88"/>
    </x:row>
    <x:row r="12" ht="19" hidden="0" customHeight="1">
      <x:c r="A12" s="88"/>
      <x:c r="B12" s="198" t="str">
        <x:v>Total period revenue</x:v>
      </x:c>
      <x:c r="C12" s="199" t="n">
        <x:f aca="0">C10+C11</x:f>
        <x:v>23572</x:v>
      </x:c>
      <x:c r="D12" s="199" t="n">
        <x:f aca="0">D10+D11</x:f>
        <x:v>49563.04</x:v>
      </x:c>
      <x:c r="E12" s="199" t="n">
        <x:f aca="0">E10+E11</x:f>
        <x:v>53357.1232</x:v>
      </x:c>
      <x:c r="F12" s="199" t="n">
        <x:f aca="0">F10+F11</x:f>
        <x:v>57454.733056000005</x:v>
      </x:c>
      <x:c r="G12" s="199" t="n">
        <x:f aca="0">G10+G11</x:f>
        <x:v>61880.15170048001</x:v>
      </x:c>
      <x:c r="H12" s="88"/>
      <x:c r="I12" s="88"/>
      <x:c r="J12" s="88"/>
    </x:row>
    <x:row r="13" ht="19" hidden="0" customHeight="1">
      <x:c r="A13" s="88"/>
      <x:c r="B13" s="125" t="str">
        <x:v>Full-year margin target before SBC change</x:v>
      </x:c>
      <x:c r="C13" s="194" t="n">
        <x:f aca="0">'Assumptions'!$F$12+0*'Assumptions'!$F$13</x:f>
        <x:v>0.201</x:v>
      </x:c>
      <x:c r="D13" s="194" t="n">
        <x:f aca="0">'Assumptions'!$F$12+1*'Assumptions'!$F$13</x:f>
        <x:v>0.20400000000000001</x:v>
      </x:c>
      <x:c r="E13" s="194" t="n">
        <x:f aca="0">'Assumptions'!$F$12+2*'Assumptions'!$F$13</x:f>
        <x:v>0.20700000000000002</x:v>
      </x:c>
      <x:c r="F13" s="194" t="n">
        <x:f aca="0">'Assumptions'!$F$12+3*'Assumptions'!$F$13</x:f>
        <x:v>0.21000000000000002</x:v>
      </x:c>
      <x:c r="G13" s="194" t="n">
        <x:f aca="0">'Assumptions'!$F$12+4*'Assumptions'!$F$13</x:f>
        <x:v>0.21300000000000002</x:v>
      </x:c>
      <x:c r="H13" s="88"/>
      <x:c r="I13" s="88"/>
      <x:c r="J13" s="88"/>
    </x:row>
    <x:row r="14" ht="19" hidden="0" customHeight="1">
      <x:c r="A14" s="88"/>
      <x:c r="B14" s="125" t="str">
        <x:v>SBC change vs base expense</x:v>
      </x:c>
      <x:c r="C14" s="191" t="n">
        <x:f aca="0">C12*('Assumptions'!$F$20-'Verified Inputs'!$C$52)</x:f>
        <x:v>0</x:v>
      </x:c>
      <x:c r="D14" s="191" t="n">
        <x:f aca="0">D12*('Assumptions'!$F$20-'Verified Inputs'!$C$52)</x:f>
        <x:v>0</x:v>
      </x:c>
      <x:c r="E14" s="191" t="n">
        <x:f aca="0">E12*('Assumptions'!$F$20-'Verified Inputs'!$C$52)</x:f>
        <x:v>0</x:v>
      </x:c>
      <x:c r="F14" s="191" t="n">
        <x:f aca="0">F12*('Assumptions'!$F$20-'Verified Inputs'!$C$52)</x:f>
        <x:v>0</x:v>
      </x:c>
      <x:c r="G14" s="191" t="n">
        <x:f aca="0">G12*('Assumptions'!$F$20-'Verified Inputs'!$C$52)</x:f>
        <x:v>0</x:v>
      </x:c>
      <x:c r="H14" s="88"/>
      <x:c r="I14" s="88"/>
      <x:c r="J14" s="88"/>
    </x:row>
    <x:row r="15" ht="19" hidden="0" customHeight="1">
      <x:c r="A15" s="88"/>
      <x:c r="B15" s="203" t="str">
        <x:v>Operating income after SBC</x:v>
      </x:c>
      <x:c r="C15" s="204" t="n">
        <x:f aca="0">C9*C13-('Verified Inputs'!$C$37-'Verified Inputs'!$C$38)-C14</x:f>
        <x:v>4578.050000000001</x:v>
      </x:c>
      <x:c r="D15" s="205" t="n">
        <x:f aca="0">D12*D13-D14</x:f>
        <x:v>10110.86016</x:v>
      </x:c>
      <x:c r="E15" s="205" t="n">
        <x:f aca="0">E12*E13-E14</x:f>
        <x:v>11044.924502400001</x:v>
      </x:c>
      <x:c r="F15" s="205" t="n">
        <x:f aca="0">F12*F13-F14</x:f>
        <x:v>12065.493941760002</x:v>
      </x:c>
      <x:c r="G15" s="205" t="n">
        <x:f aca="0">G12*G13-G14</x:f>
        <x:v>13180.472312202244</x:v>
      </x:c>
      <x:c r="H15" s="88"/>
      <x:c r="I15" s="88"/>
      <x:c r="J15" s="88"/>
    </x:row>
    <x:row r="16" ht="19" hidden="0" customHeight="1">
      <x:c r="A16" s="88"/>
      <x:c r="B16" s="88" t="str">
        <x:v>Operating margin in this period</x:v>
      </x:c>
      <x:c r="C16" s="138" t="n">
        <x:f aca="0">IF(C12&gt;0,C15/C12,0)</x:f>
        <x:v>0.1942155947734601</x:v>
      </x:c>
      <x:c r="D16" s="138" t="n">
        <x:f aca="0">IF(D12&gt;0,D15/D12,0)</x:f>
        <x:v>0.204</x:v>
      </x:c>
      <x:c r="E16" s="138" t="n">
        <x:f aca="0">IF(E12&gt;0,E15/E12,0)</x:f>
        <x:v>0.20700000000000002</x:v>
      </x:c>
      <x:c r="F16" s="138" t="n">
        <x:f aca="0">IF(F12&gt;0,F15/F12,0)</x:f>
        <x:v>0.21000000000000002</x:v>
      </x:c>
      <x:c r="G16" s="138" t="n">
        <x:f aca="0">IF(G12&gt;0,G15/G12,0)</x:f>
        <x:v>0.21300000000000002</x:v>
      </x:c>
      <x:c r="H16" s="88"/>
      <x:c r="I16" s="88"/>
      <x:c r="J16" s="88"/>
    </x:row>
    <x:row r="17" ht="19" hidden="0" customHeight="1">
      <x:c r="A17" s="88"/>
      <x:c r="B17" s="125" t="str">
        <x:v>PP&amp;E depreciation</x:v>
      </x:c>
      <x:c r="C17" s="191" t="n">
        <x:f aca="0">MIN(MAX(0,'Verified Inputs'!$C$20+C35),MAX(0,C12*'Assumptions'!$F$15))</x:f>
        <x:v>353.58</x:v>
      </x:c>
      <x:c r="D17" s="191" t="n">
        <x:f aca="0">MIN(MAX(0,C36+D35),MAX(0,D12*'Assumptions'!$F$15))</x:f>
        <x:v>743.4456</x:v>
      </x:c>
      <x:c r="E17" s="191" t="n">
        <x:f aca="0">MIN(MAX(0,D36+E35),MAX(0,E12*'Assumptions'!$F$15))</x:f>
        <x:v>800.356848</x:v>
      </x:c>
      <x:c r="F17" s="191" t="n">
        <x:f aca="0">MIN(MAX(0,E36+F35),MAX(0,F12*'Assumptions'!$F$15))</x:f>
        <x:v>861.82099584</x:v>
      </x:c>
      <x:c r="G17" s="191" t="n">
        <x:f aca="0">MIN(MAX(0,F36+G35),MAX(0,G12*'Assumptions'!$F$15))</x:f>
        <x:v>928.2022755072002</x:v>
      </x:c>
      <x:c r="H17" s="88"/>
      <x:c r="I17" s="88"/>
      <x:c r="J17" s="88"/>
    </x:row>
    <x:row r="18" ht="19" hidden="0" customHeight="1">
      <x:c r="A18" s="88"/>
      <x:c r="B18" s="111" t="str">
        <x:v>Acquired-intangible amortization</x:v>
      </x:c>
      <x:c r="C18" s="192" t="n">
        <x:f aca="0">MIN(MAX(0,'Verified Inputs'!$C$21),'Verified Inputs'!$C$21/'Verified Inputs'!$C$51*C7)</x:f>
        <x:v>774.0602739726028</x:v>
      </x:c>
      <x:c r="D18" s="192" t="n">
        <x:f aca="0">MIN(MAX(0,C37),'Verified Inputs'!$C$21/'Verified Inputs'!$C$51*D7)</x:f>
        <x:v>1535.5</x:v>
      </x:c>
      <x:c r="E18" s="192" t="n">
        <x:f aca="0">MIN(MAX(0,D37),'Verified Inputs'!$C$21/'Verified Inputs'!$C$51*E7)</x:f>
        <x:v>1539.7068493150687</x:v>
      </x:c>
      <x:c r="F18" s="192" t="n">
        <x:f aca="0">MIN(MAX(0,E37),'Verified Inputs'!$C$21/'Verified Inputs'!$C$51*F7)</x:f>
        <x:v>1535.5</x:v>
      </x:c>
      <x:c r="G18" s="192" t="n">
        <x:f aca="0">MIN(MAX(0,F37),'Verified Inputs'!$C$21/'Verified Inputs'!$C$51*G7)</x:f>
        <x:v>757.2328767123286</x:v>
      </x:c>
      <x:c r="H18" s="88"/>
      <x:c r="I18" s="88"/>
      <x:c r="J18" s="88"/>
    </x:row>
    <x:row r="19" ht="19" hidden="0" customHeight="1">
      <x:c r="A19" s="88"/>
      <x:c r="B19" s="88" t="str">
        <x:v>D&amp;A excluding operating lease assets</x:v>
      </x:c>
      <x:c r="C19" s="142" t="n">
        <x:f aca="0">C17+C18</x:f>
        <x:v>1127.6402739726027</x:v>
      </x:c>
      <x:c r="D19" s="142" t="n">
        <x:f aca="0">D17+D18</x:f>
        <x:v>2278.9456</x:v>
      </x:c>
      <x:c r="E19" s="142" t="n">
        <x:f aca="0">E17+E18</x:f>
        <x:v>2340.0636973150686</x:v>
      </x:c>
      <x:c r="F19" s="142" t="n">
        <x:f aca="0">F17+F18</x:f>
        <x:v>2397.3209958400003</x:v>
      </x:c>
      <x:c r="G19" s="142" t="n">
        <x:f aca="0">G17+G18</x:f>
        <x:v>1685.4351522195288</x:v>
      </x:c>
      <x:c r="H19" s="88"/>
      <x:c r="I19" s="88"/>
      <x:c r="J19" s="88"/>
    </x:row>
    <x:row r="20" ht="19" hidden="0" customHeight="1">
      <x:c r="A20" s="88"/>
      <x:c r="B20" s="198" t="str">
        <x:v>EBITDA after rent and SBC</x:v>
      </x:c>
      <x:c r="C20" s="199" t="n">
        <x:f aca="0">C15+C19</x:f>
        <x:v>5705.690273972604</x:v>
      </x:c>
      <x:c r="D20" s="199" t="n">
        <x:f aca="0">D15+D19</x:f>
        <x:v>12389.80576</x:v>
      </x:c>
      <x:c r="E20" s="199" t="n">
        <x:f aca="0">E15+E19</x:f>
        <x:v>13384.98819971507</x:v>
      </x:c>
      <x:c r="F20" s="199" t="n">
        <x:f aca="0">F15+F19</x:f>
        <x:v>14462.814937600002</x:v>
      </x:c>
      <x:c r="G20" s="199" t="n">
        <x:f aca="0">G15+G19</x:f>
        <x:v>14865.907464421773</x:v>
      </x:c>
      <x:c r="H20" s="88"/>
      <x:c r="I20" s="88"/>
      <x:c r="J20" s="88"/>
    </x:row>
    <x:row r="21" ht="19" hidden="0" customHeight="1">
      <x:c r="A21" s="88"/>
      <x:c r="B21" s="88" t="str">
        <x:v>SBC economic expense</x:v>
      </x:c>
      <x:c r="C21" s="195" t="n">
        <x:f aca="0">C12*'Assumptions'!$F$20</x:f>
        <x:v>2003.6200000000001</x:v>
      </x:c>
      <x:c r="D21" s="195" t="n">
        <x:f aca="0">D12*'Assumptions'!$F$20</x:f>
        <x:v>4212.8584</x:v>
      </x:c>
      <x:c r="E21" s="195" t="n">
        <x:f aca="0">E12*'Assumptions'!$F$20</x:f>
        <x:v>4535.355472</x:v>
      </x:c>
      <x:c r="F21" s="195" t="n">
        <x:f aca="0">F12*'Assumptions'!$F$20</x:f>
        <x:v>4883.652309760001</x:v>
      </x:c>
      <x:c r="G21" s="195" t="n">
        <x:f aca="0">G12*'Assumptions'!$F$20</x:f>
        <x:v>5259.812894540802</x:v>
      </x:c>
      <x:c r="H21" s="88"/>
      <x:c r="I21" s="88"/>
      <x:c r="J21" s="88"/>
    </x:row>
    <x:row r="22" ht="19" hidden="0" customHeight="1">
      <x:c r="A22" s="88"/>
      <x:c r="B22" s="88" t="str">
        <x:v>Net interest income / (expense)</x:v>
      </x:c>
      <x:c r="C22" s="195" t="n">
        <x:f aca="0">(C50+'Verified Inputs'!$C$11)*'Verified Inputs'!$C$50*C7-C47*'Assumptions'!$F$22*C7</x:f>
        <x:v>-916.8493150684934</x:v>
      </x:c>
      <x:c r="D22" s="195" t="n">
        <x:f aca="0">(D50+'Verified Inputs'!$C$11)*'Verified Inputs'!$C$50*D7-D47*'Assumptions'!$F$22*D7</x:f>
        <x:v>-1831.5039206306442</x:v>
      </x:c>
      <x:c r="E22" s="195" t="n">
        <x:f aca="0">(E50+'Verified Inputs'!$C$11)*'Verified Inputs'!$C$50*E7-E47*'Assumptions'!$F$22*E7</x:f>
        <x:v>-1819.701784977411</x:v>
      </x:c>
      <x:c r="F22" s="195" t="n">
        <x:f aca="0">(F50+'Verified Inputs'!$C$11)*'Verified Inputs'!$C$50*F7-F47*'Assumptions'!$F$22*F7</x:f>
        <x:v>-1766.1280664106057</x:v>
      </x:c>
      <x:c r="G22" s="195" t="n">
        <x:f aca="0">(G50+'Verified Inputs'!$C$11)*'Verified Inputs'!$C$50*G7-G47*'Assumptions'!$F$22*G7</x:f>
        <x:v>-1679.9387291590251</x:v>
      </x:c>
      <x:c r="H22" s="88"/>
      <x:c r="I22" s="88"/>
      <x:c r="J22" s="88"/>
    </x:row>
    <x:row r="23" ht="19" hidden="0" customHeight="1">
      <x:c r="A23" s="88"/>
      <x:c r="B23" s="111" t="str">
        <x:v>Pretax operating earnings</x:v>
      </x:c>
      <x:c r="C23" s="145" t="n">
        <x:f aca="0">C15+C22</x:f>
        <x:v>3661.2006849315076</x:v>
      </x:c>
      <x:c r="D23" s="145" t="n">
        <x:f aca="0">D15+D22</x:f>
        <x:v>8279.356239369356</x:v>
      </x:c>
      <x:c r="E23" s="145" t="n">
        <x:f aca="0">E15+E22</x:f>
        <x:v>9225.22271742259</x:v>
      </x:c>
      <x:c r="F23" s="145" t="n">
        <x:f aca="0">F15+F22</x:f>
        <x:v>10299.365875349396</x:v>
      </x:c>
      <x:c r="G23" s="145" t="n">
        <x:f aca="0">G15+G22</x:f>
        <x:v>11500.53358304322</x:v>
      </x:c>
      <x:c r="H23" s="88"/>
      <x:c r="I23" s="88"/>
      <x:c r="J23" s="88"/>
    </x:row>
    <x:row r="24" ht="19" hidden="0" customHeight="1">
      <x:c r="A24" s="88"/>
      <x:c r="B24" s="88" t="str">
        <x:v>Income tax</x:v>
      </x:c>
      <x:c r="C24" s="195" t="n">
        <x:f aca="0">-MAX(0,C23)*'Assumptions'!$F$14</x:f>
        <x:v>-823.7701541095893</x:v>
      </x:c>
      <x:c r="D24" s="195" t="n">
        <x:f aca="0">-MAX(0,D23)*'Assumptions'!$F$14</x:f>
        <x:v>-1862.855153858105</x:v>
      </x:c>
      <x:c r="E24" s="195" t="n">
        <x:f aca="0">-MAX(0,E23)*'Assumptions'!$F$14</x:f>
        <x:v>-2075.675111420083</x:v>
      </x:c>
      <x:c r="F24" s="195" t="n">
        <x:f aca="0">-MAX(0,F23)*'Assumptions'!$F$14</x:f>
        <x:v>-2317.3573219536142</x:v>
      </x:c>
      <x:c r="G24" s="195" t="n">
        <x:f aca="0">-MAX(0,G23)*'Assumptions'!$F$14</x:f>
        <x:v>-2587.6200561847245</x:v>
      </x:c>
      <x:c r="H24" s="88"/>
      <x:c r="I24" s="88"/>
      <x:c r="J24" s="88"/>
    </x:row>
    <x:row r="25" ht="19" hidden="0" customHeight="1">
      <x:c r="A25" s="88"/>
      <x:c r="B25" s="198" t="str">
        <x:v>Normalized net income</x:v>
      </x:c>
      <x:c r="C25" s="199" t="n">
        <x:f aca="0">C23+C24</x:f>
        <x:v>2837.430530821918</x:v>
      </x:c>
      <x:c r="D25" s="199" t="n">
        <x:f aca="0">D23+D24</x:f>
        <x:v>6416.5010855112505</x:v>
      </x:c>
      <x:c r="E25" s="199" t="n">
        <x:f aca="0">E23+E24</x:f>
        <x:v>7149.547606002507</x:v>
      </x:c>
      <x:c r="F25" s="199" t="n">
        <x:f aca="0">F23+F24</x:f>
        <x:v>7982.008553395783</x:v>
      </x:c>
      <x:c r="G25" s="199" t="n">
        <x:f aca="0">G23+G24</x:f>
        <x:v>8912.913526858494</x:v>
      </x:c>
      <x:c r="H25" s="88"/>
      <x:c r="I25" s="88"/>
      <x:c r="J25" s="88"/>
    </x:row>
    <x:row r="26" ht="19" hidden="0" customHeight="1">
      <x:c r="A26" s="88"/>
      <x:c r="B26" s="111" t="str">
        <x:v>Diluted EPS for this period</x:v>
      </x:c>
      <x:c r="C26" s="196" t="n">
        <x:f aca="0">IF(C44&gt;0,C25/C44,0)</x:f>
        <x:v>3.4850632134947226</x:v>
      </x:c>
      <x:c r="D26" s="196" t="n">
        <x:f aca="0">IF(D44&gt;0,D25/D44,0)</x:f>
        <x:v>8.078721531659241</x:v>
      </x:c>
      <x:c r="E26" s="196" t="n">
        <x:f aca="0">IF(E44&gt;0,E25/E44,0)</x:f>
        <x:v>9.3016878288311</x:v>
      </x:c>
      <x:c r="F26" s="196" t="n">
        <x:f aca="0">IF(F44&gt;0,F25/F44,0)</x:f>
        <x:v>10.724111900919196</x:v>
      </x:c>
      <x:c r="G26" s="196" t="n">
        <x:f aca="0">IF(G44&gt;0,G25/G44,0)</x:f>
        <x:v>12.354404678046494</x:v>
      </x:c>
      <x:c r="H26" s="88"/>
      <x:c r="I26" s="88"/>
      <x:c r="J26" s="88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</x:row>
    <x:row r="28" ht="24" hidden="0" customHeight="1">
      <x:c r="A28" s="111"/>
      <x:c r="B28" s="105" t="str">
        <x:v>Working capital</x:v>
      </x:c>
      <x:c r="C28" s="105"/>
      <x:c r="D28" s="105"/>
      <x:c r="E28" s="105"/>
      <x:c r="F28" s="105"/>
      <x:c r="G28" s="105"/>
      <x:c r="H28" s="105"/>
      <x:c r="I28" s="105"/>
      <x:c r="J28" s="105"/>
    </x:row>
    <x:row r="29" ht="19" hidden="0" customHeight="1">
      <x:c r="A29" s="88"/>
      <x:c r="B29" s="88" t="str">
        <x:v>Operating current assets — ending</x:v>
      </x:c>
      <x:c r="C29" s="195" t="n">
        <x:f aca="0">C9*'Verified Inputs'!$C$44</x:f>
        <x:v>20690.062612883805</x:v>
      </x:c>
      <x:c r="D29" s="195" t="n">
        <x:f aca="0">D9*'Verified Inputs'!$C$44</x:f>
        <x:v>22268.45604527393</x:v>
      </x:c>
      <x:c r="E29" s="195" t="n">
        <x:f aca="0">E9*'Verified Inputs'!$C$44</x:f>
        <x:v>23973.120952255267</x:v>
      </x:c>
      <x:c r="F29" s="195" t="n">
        <x:f aca="0">F9*'Verified Inputs'!$C$44</x:f>
        <x:v>25814.15905179511</x:v>
      </x:c>
      <x:c r="G29" s="195" t="n">
        <x:f aca="0">G9*'Verified Inputs'!$C$44</x:f>
        <x:v>27802.48019929815</x:v>
      </x:c>
      <x:c r="H29" s="88"/>
      <x:c r="I29" s="88"/>
      <x:c r="J29" s="88"/>
    </x:row>
    <x:row r="30" ht="19" hidden="0" customHeight="1">
      <x:c r="A30" s="88"/>
      <x:c r="B30" s="88" t="str">
        <x:v>Operating current liabilities — ending</x:v>
      </x:c>
      <x:c r="C30" s="195" t="n">
        <x:f aca="0">C9*'Verified Inputs'!$C$45</x:f>
        <x:v>36119.16917519567</x:v>
      </x:c>
      <x:c r="D30" s="195" t="n">
        <x:f aca="0">D9*'Verified Inputs'!$C$45</x:f>
        <x:v>38874.610783865144</x:v>
      </x:c>
      <x:c r="E30" s="195" t="n">
        <x:f aca="0">E9*'Verified Inputs'!$C$45</x:f>
        <x:v>41850.48772122818</x:v>
      </x:c>
      <x:c r="F30" s="195" t="n">
        <x:f aca="0">F9*'Verified Inputs'!$C$45</x:f>
        <x:v>45064.43481358026</x:v>
      </x:c>
      <x:c r="G30" s="195" t="n">
        <x:f aca="0">G9*'Verified Inputs'!$C$45</x:f>
        <x:v>48535.497673320504</x:v>
      </x:c>
      <x:c r="H30" s="88"/>
      <x:c r="I30" s="88"/>
      <x:c r="J30" s="88"/>
    </x:row>
    <x:row r="31" ht="19" hidden="0" customHeight="1">
      <x:c r="A31" s="88"/>
      <x:c r="B31" s="111" t="str">
        <x:v>Net operating working capital</x:v>
      </x:c>
      <x:c r="C31" s="145" t="n">
        <x:f aca="0">C29-C30</x:f>
        <x:v>-15429.106562311863</x:v>
      </x:c>
      <x:c r="D31" s="145" t="n">
        <x:f aca="0">D29-D30</x:f>
        <x:v>-16606.154738591213</x:v>
      </x:c>
      <x:c r="E31" s="145" t="n">
        <x:f aca="0">E29-E30</x:f>
        <x:v>-17877.36676897291</x:v>
      </x:c>
      <x:c r="F31" s="145" t="n">
        <x:f aca="0">F29-F30</x:f>
        <x:v>-19250.275761785146</x:v>
      </x:c>
      <x:c r="G31" s="145" t="n">
        <x:f aca="0">G29-G30</x:f>
        <x:v>-20733.017474022356</x:v>
      </x:c>
      <x:c r="H31" s="88"/>
      <x:c r="I31" s="88"/>
      <x:c r="J31" s="88"/>
    </x:row>
    <x:row r="32" ht="19" hidden="0" customHeight="1">
      <x:c r="A32" s="88"/>
      <x:c r="B32" s="88" t="str">
        <x:v>Cash from change in working capital</x:v>
      </x:c>
      <x:c r="C32" s="195" t="n">
        <x:f aca="0">('Verified Inputs'!$C$18-'Verified Inputs'!$C$19)-C31</x:f>
        <x:v>304.10656231186294</x:v>
      </x:c>
      <x:c r="D32" s="142" t="n">
        <x:f aca="0">(C31)-D31</x:f>
        <x:v>1177.0481762793497</x:v>
      </x:c>
      <x:c r="E32" s="142" t="n">
        <x:f aca="0">(D31)-E31</x:f>
        <x:v>1271.2120303816992</x:v>
      </x:c>
      <x:c r="F32" s="142" t="n">
        <x:f aca="0">(E31)-F31</x:f>
        <x:v>1372.908992812234</x:v>
      </x:c>
      <x:c r="G32" s="142" t="n">
        <x:f aca="0">(F31)-G31</x:f>
        <x:v>1482.7417122372099</x:v>
      </x:c>
      <x:c r="H32" s="88"/>
      <x:c r="I32" s="88"/>
      <x:c r="J32" s="88"/>
    </x:row>
    <x:row r="33" ht="19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</x:row>
    <x:row r="34" ht="24" hidden="0" customHeight="1">
      <x:c r="A34" s="111"/>
      <x:c r="B34" s="105" t="str">
        <x:v>Long-lived assets</x:v>
      </x:c>
      <x:c r="C34" s="105"/>
      <x:c r="D34" s="105"/>
      <x:c r="E34" s="105"/>
      <x:c r="F34" s="105"/>
      <x:c r="G34" s="105"/>
      <x:c r="H34" s="105"/>
      <x:c r="I34" s="105"/>
      <x:c r="J34" s="105"/>
    </x:row>
    <x:row r="35" ht="19" hidden="0" customHeight="1">
      <x:c r="A35" s="88"/>
      <x:c r="B35" s="88" t="str">
        <x:v>Capital expenditures</x:v>
      </x:c>
      <x:c r="C35" s="195" t="n">
        <x:f aca="0">MAX(0,C9*'Assumptions'!$F$16-'Verified Inputs'!$C$34)</x:f>
        <x:v>328.70000000000005</x:v>
      </x:c>
      <x:c r="D35" s="195" t="n">
        <x:f aca="0">D12*'Assumptions'!$F$17</x:f>
        <x:v>842.5716800000001</x:v>
      </x:c>
      <x:c r="E35" s="195" t="n">
        <x:f aca="0">E12*'Assumptions'!$F$17</x:f>
        <x:v>907.0710944000001</x:v>
      </x:c>
      <x:c r="F35" s="195" t="n">
        <x:f aca="0">F12*'Assumptions'!$F$17</x:f>
        <x:v>976.7304619520002</x:v>
      </x:c>
      <x:c r="G35" s="195" t="n">
        <x:f aca="0">G12*'Assumptions'!$F$17</x:f>
        <x:v>1051.9625789081604</x:v>
      </x:c>
      <x:c r="H35" s="88"/>
      <x:c r="I35" s="88"/>
      <x:c r="J35" s="88"/>
    </x:row>
    <x:row r="36" ht="19" hidden="0" customHeight="1">
      <x:c r="A36" s="88"/>
      <x:c r="B36" s="111" t="str">
        <x:v>Net PP&amp;E — ending</x:v>
      </x:c>
      <x:c r="C36" s="192" t="n">
        <x:f aca="0">'Verified Inputs'!$C$20+C35-C17</x:f>
        <x:v>3017.12</x:v>
      </x:c>
      <x:c r="D36" s="145" t="n">
        <x:f aca="0">C36+D35-D17</x:f>
        <x:v>3116.24608</x:v>
      </x:c>
      <x:c r="E36" s="145" t="n">
        <x:f aca="0">D36+E35-E17</x:f>
        <x:v>3222.9603264</x:v>
      </x:c>
      <x:c r="F36" s="145" t="n">
        <x:f aca="0">E36+F35-F17</x:f>
        <x:v>3337.8697925120005</x:v>
      </x:c>
      <x:c r="G36" s="145" t="n">
        <x:f aca="0">F36+G35-G17</x:f>
        <x:v>3461.6300959129603</x:v>
      </x:c>
      <x:c r="H36" s="88"/>
      <x:c r="I36" s="88"/>
      <x:c r="J36" s="88"/>
    </x:row>
    <x:row r="37" ht="19" hidden="0" customHeight="1">
      <x:c r="A37" s="88"/>
      <x:c r="B37" s="88" t="str">
        <x:v>Acquired intangibles — ending</x:v>
      </x:c>
      <x:c r="C37" s="195" t="n">
        <x:f aca="0">'Verified Inputs'!$C$21-C18</x:f>
        <x:v>5367.939726027397</x:v>
      </x:c>
      <x:c r="D37" s="142" t="n">
        <x:f aca="0">C37-D18</x:f>
        <x:v>3832.4397260273972</x:v>
      </x:c>
      <x:c r="E37" s="142" t="n">
        <x:f aca="0">D37-E18</x:f>
        <x:v>2292.7328767123286</x:v>
      </x:c>
      <x:c r="F37" s="142" t="n">
        <x:f aca="0">E37-F18</x:f>
        <x:v>757.2328767123286</x:v>
      </x:c>
      <x:c r="G37" s="142" t="n">
        <x:f aca="0">F37-G18</x:f>
        <x:v>0</x:v>
      </x:c>
      <x:c r="H37" s="88"/>
      <x:c r="I37" s="88"/>
      <x:c r="J37" s="88"/>
    </x:row>
    <x:row r="38" ht="19" hidden="0" customHeight="1">
      <x:c r="A38" s="88"/>
      <x:c r="B38" s="88" t="str">
        <x:v>Goodwill — unchanged</x:v>
      </x:c>
      <x:c r="C38" s="195" t="n">
        <x:f aca="0">'Verified Inputs'!$C$22</x:f>
        <x:v>59250</x:v>
      </x:c>
      <x:c r="D38" s="195" t="n">
        <x:f aca="0">'Verified Inputs'!$C$22</x:f>
        <x:v>59250</x:v>
      </x:c>
      <x:c r="E38" s="195" t="n">
        <x:f aca="0">'Verified Inputs'!$C$22</x:f>
        <x:v>59250</x:v>
      </x:c>
      <x:c r="F38" s="195" t="n">
        <x:f aca="0">'Verified Inputs'!$C$22</x:f>
        <x:v>59250</x:v>
      </x:c>
      <x:c r="G38" s="195" t="n">
        <x:f aca="0">'Verified Inputs'!$C$22</x:f>
        <x:v>59250</x:v>
      </x:c>
      <x:c r="H38" s="88"/>
      <x:c r="I38" s="88"/>
      <x:c r="J38" s="88"/>
    </x:row>
    <x:row r="39" ht="24" hidden="0" customHeight="1">
      <x:c r="A39" s="88"/>
      <x:c r="B39" s="105" t="str">
        <x:v>Shares</x:v>
      </x:c>
      <x:c r="C39" s="151"/>
      <x:c r="D39" s="151"/>
      <x:c r="E39" s="151"/>
      <x:c r="F39" s="151"/>
      <x:c r="G39" s="151"/>
      <x:c r="H39" s="105"/>
      <x:c r="I39" s="105"/>
      <x:c r="J39" s="105"/>
    </x:row>
    <x:row r="40" ht="19" hidden="0" customHeight="1">
      <x:c r="A40" s="88"/>
      <x:c r="B40" s="111" t="str">
        <x:v>Beginning shares</x:v>
      </x:c>
      <x:c r="C40" s="192" t="n">
        <x:f aca="0">'Verified Inputs'!$C$8</x:f>
        <x:v>821</x:v>
      </x:c>
      <x:c r="D40" s="145" t="n">
        <x:f aca="0">C43</x:f>
        <x:v>807.3380570171197</x:v>
      </x:c>
      <x:c r="E40" s="145" t="n">
        <x:f aca="0">D43</x:f>
        <x:v>781.1561274564979</x:v>
      </x:c>
      <x:c r="F40" s="145" t="n">
        <x:f aca="0">E43</x:f>
        <x:v>756.1019997926419</x:v>
      </x:c>
      <x:c r="G40" s="145" t="n">
        <x:f aca="0">F43</x:f>
        <x:v>732.5077102033197</x:v>
      </x:c>
      <x:c r="H40" s="88"/>
      <x:c r="I40" s="88"/>
      <x:c r="J40" s="88"/>
    </x:row>
    <x:row r="41" ht="19" hidden="0" customHeight="1">
      <x:c r="A41" s="88"/>
      <x:c r="B41" s="88" t="str">
        <x:v>Shares issued for SBC (estimate)</x:v>
      </x:c>
      <x:c r="C41" s="195" t="n">
        <x:f aca="0">IF('Verified Inputs'!$C$7&gt;0,C21/'Verified Inputs'!$C$7,0)</x:f>
        <x:v>7.729120857925395</x:v>
      </x:c>
      <x:c r="D41" s="195" t="n">
        <x:f aca="0">IF('Verified Inputs'!$C$7&gt;0,D21/'Verified Inputs'!$C$7,0)</x:f>
        <x:v>16.251430775758976</x:v>
      </x:c>
      <x:c r="E41" s="195" t="n">
        <x:f aca="0">IF('Verified Inputs'!$C$7&gt;0,E21/'Verified Inputs'!$C$7,0)</x:f>
        <x:v>17.49548845426841</x:v>
      </x:c>
      <x:c r="F41" s="195" t="n">
        <x:f aca="0">IF('Verified Inputs'!$C$7&gt;0,F21/'Verified Inputs'!$C$7,0)</x:f>
        <x:v>18.8390707470586</x:v>
      </x:c>
      <x:c r="G41" s="195" t="n">
        <x:f aca="0">IF('Verified Inputs'!$C$7&gt;0,G21/'Verified Inputs'!$C$7,0)</x:f>
        <x:v>20.290139623272</x:v>
      </x:c>
      <x:c r="H41" s="88"/>
      <x:c r="I41" s="88"/>
      <x:c r="J41" s="88"/>
    </x:row>
    <x:row r="42" ht="19" hidden="0" customHeight="1">
      <x:c r="A42" s="88"/>
      <x:c r="B42" s="88" t="str">
        <x:v>Shares repurchased</x:v>
      </x:c>
      <x:c r="C42" s="106" t="n">
        <x:f>IF('Verified Inputs'!$C$7&gt;0,-C59/'Verified Inputs'!$C$7,0)</x:f>
        <x:v>21.391063840805675</x:v>
      </x:c>
      <x:c r="D42" s="106" t="n">
        <x:f>IF('Verified Inputs'!$C$7&gt;0,-D59/'Verified Inputs'!$C$7,0)</x:f>
        <x:v>42.433360336380815</x:v>
      </x:c>
      <x:c r="E42" s="106" t="n">
        <x:f>IF('Verified Inputs'!$C$7&gt;0,-E59/'Verified Inputs'!$C$7,0)</x:f>
        <x:v>42.549616118124334</x:v>
      </x:c>
      <x:c r="F42" s="106" t="n">
        <x:f>IF('Verified Inputs'!$C$7&gt;0,-F59/'Verified Inputs'!$C$7,0)</x:f>
        <x:v>42.433360336380815</x:v>
      </x:c>
      <x:c r="G42" s="106" t="n">
        <x:f>IF('Verified Inputs'!$C$7&gt;0,-G59/'Verified Inputs'!$C$7,0)</x:f>
        <x:v>42.433360336380815</x:v>
      </x:c>
      <x:c r="H42" s="88"/>
      <x:c r="I42" s="88"/>
      <x:c r="J42" s="88"/>
    </x:row>
    <x:row r="43" ht="19" hidden="0" customHeight="1">
      <x:c r="A43" s="111"/>
      <x:c r="B43" s="111" t="str">
        <x:v>Ending shares</x:v>
      </x:c>
      <x:c r="C43" s="188" t="n">
        <x:f>C40+C41-C42</x:f>
        <x:v>807.3380570171197</x:v>
      </x:c>
      <x:c r="D43" s="188" t="n">
        <x:f>D40+D41-D42</x:f>
        <x:v>781.1561274564979</x:v>
      </x:c>
      <x:c r="E43" s="188" t="n">
        <x:f>E40+E41-E42</x:f>
        <x:v>756.1019997926419</x:v>
      </x:c>
      <x:c r="F43" s="188" t="n">
        <x:f>F40+F41-F42</x:f>
        <x:v>732.5077102033197</x:v>
      </x:c>
      <x:c r="G43" s="188" t="n">
        <x:f>G40+G41-G42</x:f>
        <x:v>710.3644894902109</x:v>
      </x:c>
      <x:c r="H43" s="111"/>
      <x:c r="I43" s="88"/>
      <x:c r="J43" s="88"/>
    </x:row>
    <x:row r="44" ht="19" hidden="0" customHeight="1">
      <x:c r="A44" s="88"/>
      <x:c r="B44" s="111" t="str">
        <x:v>Average diluted shares</x:v>
      </x:c>
      <x:c r="C44" s="145" t="n">
        <x:f aca="0">(C40+C43)/2</x:f>
        <x:v>814.1690285085599</x:v>
      </x:c>
      <x:c r="D44" s="145" t="n">
        <x:f aca="0">(D40+D43)/2</x:f>
        <x:v>794.2470922368088</x:v>
      </x:c>
      <x:c r="E44" s="145" t="n">
        <x:f aca="0">(E40+E43)/2</x:f>
        <x:v>768.6290636245699</x:v>
      </x:c>
      <x:c r="F44" s="145" t="n">
        <x:f aca="0">(F40+F43)/2</x:f>
        <x:v>744.3048549979808</x:v>
      </x:c>
      <x:c r="G44" s="145" t="n">
        <x:f aca="0">(G40+G43)/2</x:f>
        <x:v>721.4360998467653</x:v>
      </x:c>
      <x:c r="H44" s="88"/>
      <x:c r="I44" s="88"/>
      <x:c r="J44" s="88"/>
    </x:row>
    <x:row r="45" ht="19" hidden="0" customHeight="1">
      <x:c r="A45" s="88"/>
      <x:c r="B45" s="88"/>
      <x:c r="C45" s="128"/>
      <x:c r="D45" s="128"/>
      <x:c r="E45" s="128"/>
      <x:c r="F45" s="128"/>
      <x:c r="G45" s="128"/>
      <x:c r="H45" s="88"/>
      <x:c r="I45" s="88"/>
      <x:c r="J45" s="88"/>
    </x:row>
    <x:row r="46" ht="24" hidden="0" customHeight="1">
      <x:c r="A46" s="88"/>
      <x:c r="B46" s="105" t="str">
        <x:v>Debt and cash</x:v>
      </x:c>
      <x:c r="C46" s="151"/>
      <x:c r="D46" s="151"/>
      <x:c r="E46" s="151"/>
      <x:c r="F46" s="151"/>
      <x:c r="G46" s="151"/>
      <x:c r="H46" s="105"/>
      <x:c r="I46" s="105"/>
      <x:c r="J46" s="105"/>
    </x:row>
    <x:row r="47" ht="19" hidden="0" customHeight="1">
      <x:c r="A47" s="88"/>
      <x:c r="B47" s="111" t="str">
        <x:v>Beginning funded debt</x:v>
      </x:c>
      <x:c r="C47" s="192" t="n">
        <x:f aca="0">'Verified Inputs'!$C$12</x:f>
        <x:v>39288</x:v>
      </x:c>
      <x:c r="D47" s="145" t="n">
        <x:f aca="0">C49</x:f>
        <x:v>39288</x:v>
      </x:c>
      <x:c r="E47" s="145" t="n">
        <x:f aca="0">D49</x:f>
        <x:v>39288</x:v>
      </x:c>
      <x:c r="F47" s="145" t="n">
        <x:f aca="0">E49</x:f>
        <x:v>39288</x:v>
      </x:c>
      <x:c r="G47" s="145" t="n">
        <x:f aca="0">F49</x:f>
        <x:v>39288</x:v>
      </x:c>
      <x:c r="H47" s="88"/>
      <x:c r="I47" s="88"/>
      <x:c r="J47" s="88"/>
    </x:row>
    <x:row r="48" ht="19" hidden="0" customHeight="1">
      <x:c r="A48" s="88"/>
      <x:c r="B48" s="88" t="str">
        <x:v>Explicit borrowing / (repayment)</x:v>
      </x:c>
      <x:c r="C48" s="144" t="n">
        <x:v>0</x:v>
      </x:c>
      <x:c r="D48" s="144" t="n">
        <x:v>0</x:v>
      </x:c>
      <x:c r="E48" s="144" t="n">
        <x:v>0</x:v>
      </x:c>
      <x:c r="F48" s="144" t="n">
        <x:v>0</x:v>
      </x:c>
      <x:c r="G48" s="144" t="n">
        <x:v>0</x:v>
      </x:c>
      <x:c r="H48" s="88"/>
      <x:c r="I48" s="88"/>
      <x:c r="J48" s="88"/>
    </x:row>
    <x:row r="49" ht="19" hidden="0" customHeight="1">
      <x:c r="A49" s="88"/>
      <x:c r="B49" s="111" t="str">
        <x:v>Ending funded debt</x:v>
      </x:c>
      <x:c r="C49" s="145" t="n">
        <x:f aca="0">C47+C48</x:f>
        <x:v>39288</x:v>
      </x:c>
      <x:c r="D49" s="145" t="n">
        <x:f aca="0">D47+D48</x:f>
        <x:v>39288</x:v>
      </x:c>
      <x:c r="E49" s="145" t="n">
        <x:f aca="0">E47+E48</x:f>
        <x:v>39288</x:v>
      </x:c>
      <x:c r="F49" s="145" t="n">
        <x:f aca="0">F47+F48</x:f>
        <x:v>39288</x:v>
      </x:c>
      <x:c r="G49" s="145" t="n">
        <x:f aca="0">G47+G48</x:f>
        <x:v>39288</x:v>
      </x:c>
      <x:c r="H49" s="88"/>
      <x:c r="I49" s="88"/>
      <x:c r="J49" s="88"/>
    </x:row>
    <x:row r="50" ht="19" hidden="0" customHeight="1">
      <x:c r="A50" s="88"/>
      <x:c r="B50" s="88" t="str">
        <x:v>Beginning cash</x:v>
      </x:c>
      <x:c r="C50" s="106" t="n">
        <x:f>'Verified Inputs'!$C$10</x:f>
        <x:v>8310</x:v>
      </x:c>
      <x:c r="D50" s="98" t="n">
        <x:f>C61</x:f>
        <x:v>7884.869312311863</x:v>
      </x:c>
      <x:c r="E50" s="98" t="n">
        <x:f>D61</x:f>
        <x:v>8444.002594102463</x:v>
      </x:c>
      <x:c r="F50" s="98" t="n">
        <x:f>E61</x:f>
        <x:v>10064.064452979817</x:v>
      </x:c>
      <x:c r="G50" s="98" t="n">
        <x:f>F61</x:f>
        <x:v>12937.042361365833</x:v>
      </x:c>
      <x:c r="H50" s="88"/>
      <x:c r="I50" s="88"/>
      <x:c r="J50" s="88"/>
    </x:row>
    <x:row r="51" ht="19" hidden="0" customHeight="1">
      <x:c r="A51" s="111"/>
      <x:c r="B51" s="111" t="str">
        <x:v>Net income</x:v>
      </x:c>
      <x:c r="C51" s="188" t="n">
        <x:f>C25</x:f>
        <x:v>2837.430530821918</x:v>
      </x:c>
      <x:c r="D51" s="188" t="n">
        <x:f>D25</x:f>
        <x:v>6416.5010855112505</x:v>
      </x:c>
      <x:c r="E51" s="188" t="n">
        <x:f>E25</x:f>
        <x:v>7149.547606002507</x:v>
      </x:c>
      <x:c r="F51" s="188" t="n">
        <x:f>F25</x:f>
        <x:v>7982.008553395783</x:v>
      </x:c>
      <x:c r="G51" s="188" t="n">
        <x:f>G25</x:f>
        <x:v>8912.913526858494</x:v>
      </x:c>
      <x:c r="H51" s="111"/>
      <x:c r="I51" s="88"/>
      <x:c r="J51" s="88"/>
    </x:row>
    <x:row r="52" ht="19" hidden="0" customHeight="1">
      <x:c r="A52" s="88"/>
      <x:c r="B52" s="88" t="str">
        <x:v>Add D&amp;A</x:v>
      </x:c>
      <x:c r="C52" s="142" t="n">
        <x:f aca="0">C19</x:f>
        <x:v>1127.6402739726027</x:v>
      </x:c>
      <x:c r="D52" s="142" t="n">
        <x:f aca="0">D19</x:f>
        <x:v>2278.9456</x:v>
      </x:c>
      <x:c r="E52" s="142" t="n">
        <x:f aca="0">E19</x:f>
        <x:v>2340.0636973150686</x:v>
      </x:c>
      <x:c r="F52" s="142" t="n">
        <x:f aca="0">F19</x:f>
        <x:v>2397.3209958400003</x:v>
      </x:c>
      <x:c r="G52" s="142" t="n">
        <x:f aca="0">G19</x:f>
        <x:v>1685.4351522195288</x:v>
      </x:c>
      <x:c r="H52" s="88"/>
      <x:c r="I52" s="88"/>
      <x:c r="J52" s="88"/>
    </x:row>
    <x:row r="53" ht="19" hidden="0" customHeight="1">
      <x:c r="A53" s="88"/>
      <x:c r="B53" s="88" t="str">
        <x:v>Add SBC (noncash issuance)</x:v>
      </x:c>
      <x:c r="C53" s="142" t="n">
        <x:f aca="0">C21</x:f>
        <x:v>2003.6200000000001</x:v>
      </x:c>
      <x:c r="D53" s="142" t="n">
        <x:f aca="0">D21</x:f>
        <x:v>4212.8584</x:v>
      </x:c>
      <x:c r="E53" s="142" t="n">
        <x:f aca="0">E21</x:f>
        <x:v>4535.355472</x:v>
      </x:c>
      <x:c r="F53" s="142" t="n">
        <x:f aca="0">F21</x:f>
        <x:v>4883.652309760001</x:v>
      </x:c>
      <x:c r="G53" s="142" t="n">
        <x:f aca="0">G21</x:f>
        <x:v>5259.812894540802</x:v>
      </x:c>
      <x:c r="H53" s="88"/>
      <x:c r="I53" s="88"/>
      <x:c r="J53" s="88"/>
    </x:row>
    <x:row r="54" ht="19" hidden="0" customHeight="1">
      <x:c r="A54" s="88"/>
      <x:c r="B54" s="88" t="str">
        <x:v>Cash from working capital</x:v>
      </x:c>
      <x:c r="C54" s="142" t="n">
        <x:f aca="0">C32</x:f>
        <x:v>304.10656231186294</x:v>
      </x:c>
      <x:c r="D54" s="142" t="n">
        <x:f aca="0">D32</x:f>
        <x:v>1177.0481762793497</x:v>
      </x:c>
      <x:c r="E54" s="142" t="n">
        <x:f aca="0">E32</x:f>
        <x:v>1271.2120303816992</x:v>
      </x:c>
      <x:c r="F54" s="142" t="n">
        <x:f aca="0">F32</x:f>
        <x:v>1372.908992812234</x:v>
      </x:c>
      <x:c r="G54" s="142" t="n">
        <x:f aca="0">G32</x:f>
        <x:v>1482.7417122372099</x:v>
      </x:c>
      <x:c r="H54" s="88"/>
      <x:c r="I54" s="88"/>
      <x:c r="J54" s="88"/>
    </x:row>
    <x:row r="55" ht="19" hidden="0" customHeight="1">
      <x:c r="A55" s="88"/>
      <x:c r="B55" s="198" t="str">
        <x:v>Operating cash flow</x:v>
      </x:c>
      <x:c r="C55" s="199" t="n">
        <x:f aca="0">SUM(C51:C54)</x:f>
        <x:v>6272.797367106384</x:v>
      </x:c>
      <x:c r="D55" s="199" t="n">
        <x:f aca="0">SUM(D51:D54)</x:f>
        <x:v>14085.353261790602</x:v>
      </x:c>
      <x:c r="E55" s="199" t="n">
        <x:f aca="0">SUM(E51:E54)</x:f>
        <x:v>15296.178805699274</x:v>
      </x:c>
      <x:c r="F55" s="199" t="n">
        <x:f aca="0">SUM(F51:F54)</x:f>
        <x:v>16635.890851808017</x:v>
      </x:c>
      <x:c r="G55" s="199" t="n">
        <x:f aca="0">SUM(G51:G54)</x:f>
        <x:v>17340.903285856035</x:v>
      </x:c>
      <x:c r="H55" s="88"/>
      <x:c r="I55" s="88"/>
      <x:c r="J55" s="88"/>
    </x:row>
    <x:row r="56" ht="19" hidden="0" customHeight="1">
      <x:c r="A56" s="88"/>
      <x:c r="B56" s="88" t="str">
        <x:v>Less capex</x:v>
      </x:c>
      <x:c r="C56" s="142" t="n">
        <x:f aca="0">-C35</x:f>
        <x:v>-328.70000000000005</x:v>
      </x:c>
      <x:c r="D56" s="142" t="n">
        <x:f aca="0">-D35</x:f>
        <x:v>-842.5716800000001</x:v>
      </x:c>
      <x:c r="E56" s="142" t="n">
        <x:f aca="0">-E35</x:f>
        <x:v>-907.0710944000001</x:v>
      </x:c>
      <x:c r="F56" s="142" t="n">
        <x:f aca="0">-F35</x:f>
        <x:v>-976.7304619520002</x:v>
      </x:c>
      <x:c r="G56" s="142" t="n">
        <x:f aca="0">-G35</x:f>
        <x:v>-1051.9625789081604</x:v>
      </x:c>
      <x:c r="H56" s="88"/>
      <x:c r="I56" s="88"/>
      <x:c r="J56" s="88"/>
    </x:row>
    <x:row r="57" ht="19" hidden="0" customHeight="1">
      <x:c r="A57" s="88"/>
      <x:c r="B57" s="198" t="str">
        <x:v>Free cash flow before financing</x:v>
      </x:c>
      <x:c r="C57" s="199" t="n">
        <x:f aca="0">C55+C56</x:f>
        <x:v>5944.097367106384</x:v>
      </x:c>
      <x:c r="D57" s="199" t="n">
        <x:f aca="0">D55+D56</x:f>
        <x:v>13242.781581790601</x:v>
      </x:c>
      <x:c r="E57" s="199" t="n">
        <x:f aca="0">E55+E56</x:f>
        <x:v>14389.107711299273</x:v>
      </x:c>
      <x:c r="F57" s="199" t="n">
        <x:f aca="0">F55+F56</x:f>
        <x:v>15659.160389856017</x:v>
      </x:c>
      <x:c r="G57" s="199" t="n">
        <x:f aca="0">G55+G56</x:f>
        <x:v>16288.940706947875</x:v>
      </x:c>
      <x:c r="H57" s="88"/>
      <x:c r="I57" s="88"/>
      <x:c r="J57" s="88"/>
    </x:row>
    <x:row r="58" ht="19" hidden="0" customHeight="1">
      <x:c r="A58" s="88"/>
      <x:c r="B58" s="88" t="str">
        <x:v>Dividends (liquidity capped)</x:v>
      </x:c>
      <x:c r="C58" s="195" t="n">
        <x:f aca="0">-MIN('Verified Inputs'!$C$46*(1+'Assumptions'!$F$18)^1*C7,MAX(0,C93-'Verified Inputs'!$C$27))</x:f>
        <x:v>-824.0225753424659</x:v>
      </x:c>
      <x:c r="D58" s="195" t="n">
        <x:f aca="0">-MIN('Verified Inputs'!$C$46*(1+'Assumptions'!$F$18)^2*D7,MAX(0,D93-'Verified Inputs'!$C$27))</x:f>
        <x:v>-1683.6482999999998</x:v>
      </x:c>
      <x:c r="E58" s="195" t="n">
        <x:f aca="0">-MIN('Verified Inputs'!$C$46*(1+'Assumptions'!$F$18)^3*E7,MAX(0,E93-'Verified Inputs'!$C$27))</x:f>
        <x:v>-1738.908866120548</x:v>
      </x:c>
      <x:c r="F58" s="195" t="n">
        <x:f aca="0">-MIN('Verified Inputs'!$C$46*(1+'Assumptions'!$F$18)^4*F7,MAX(0,F93-'Verified Inputs'!$C$27))</x:f>
        <x:v>-1786.1824814700003</x:v>
      </x:c>
      <x:c r="G58" s="195" t="n">
        <x:f aca="0">-MIN('Verified Inputs'!$C$46*(1+'Assumptions'!$F$18)^5*G7,MAX(0,G93-'Verified Inputs'!$C$27))</x:f>
        <x:v>-1839.7679559141002</x:v>
      </x:c>
      <x:c r="H58" s="88"/>
      <x:c r="I58" s="88"/>
      <x:c r="J58" s="88"/>
    </x:row>
    <x:row r="59" ht="19" hidden="0" customHeight="1">
      <x:c r="A59" s="88"/>
      <x:c r="B59" s="88" t="str">
        <x:v>Buybacks (liquidity capped)</x:v>
      </x:c>
      <x:c r="C59" s="195" t="n">
        <x:f aca="0">-MIN('Assumptions'!$F$19*C7,MAX(0,C93+C58-'Verified Inputs'!$C$27))</x:f>
        <x:v>-5545.205479452055</x:v>
      </x:c>
      <x:c r="D59" s="195" t="n">
        <x:f aca="0">-MIN('Assumptions'!$F$19*D7,MAX(0,D93+D58-'Verified Inputs'!$C$27))</x:f>
        <x:v>-11000</x:v>
      </x:c>
      <x:c r="E59" s="195" t="n">
        <x:f aca="0">-MIN('Assumptions'!$F$19*E7,MAX(0,E93+E58-'Verified Inputs'!$C$27))</x:f>
        <x:v>-11030.136986301372</x:v>
      </x:c>
      <x:c r="F59" s="195" t="n">
        <x:f aca="0">-MIN('Assumptions'!$F$19*F7,MAX(0,F93+F58-'Verified Inputs'!$C$27))</x:f>
        <x:v>-11000</x:v>
      </x:c>
      <x:c r="G59" s="195" t="n">
        <x:f aca="0">-MIN('Assumptions'!$F$19*G7,MAX(0,G93+G58-'Verified Inputs'!$C$27))</x:f>
        <x:v>-11000</x:v>
      </x:c>
      <x:c r="H59" s="88"/>
      <x:c r="I59" s="88"/>
      <x:c r="J59" s="88"/>
    </x:row>
    <x:row r="60" ht="19" hidden="0" customHeight="1">
      <x:c r="A60" s="88"/>
      <x:c r="B60" s="88" t="str">
        <x:v>Debt movement</x:v>
      </x:c>
      <x:c r="C60" s="142" t="n">
        <x:f aca="0">C48</x:f>
        <x:v>0</x:v>
      </x:c>
      <x:c r="D60" s="142" t="n">
        <x:f aca="0">D48</x:f>
        <x:v>0</x:v>
      </x:c>
      <x:c r="E60" s="142" t="n">
        <x:f aca="0">E48</x:f>
        <x:v>0</x:v>
      </x:c>
      <x:c r="F60" s="142" t="n">
        <x:f aca="0">F48</x:f>
        <x:v>0</x:v>
      </x:c>
      <x:c r="G60" s="142" t="n">
        <x:f aca="0">G48</x:f>
        <x:v>0</x:v>
      </x:c>
      <x:c r="H60" s="88"/>
      <x:c r="I60" s="88"/>
      <x:c r="J60" s="88"/>
    </x:row>
    <x:row r="61" ht="19" hidden="0" customHeight="1">
      <x:c r="A61" s="88"/>
      <x:c r="B61" s="198" t="str">
        <x:v>Ending cash</x:v>
      </x:c>
      <x:c r="C61" s="199" t="n">
        <x:f aca="0">C50+SUM(C57:C60)</x:f>
        <x:v>7884.869312311863</x:v>
      </x:c>
      <x:c r="D61" s="199" t="n">
        <x:f aca="0">D50+SUM(D57:D60)</x:f>
        <x:v>8444.002594102463</x:v>
      </x:c>
      <x:c r="E61" s="199" t="n">
        <x:f aca="0">E50+SUM(E57:E60)</x:f>
        <x:v>10064.064452979817</x:v>
      </x:c>
      <x:c r="F61" s="199" t="n">
        <x:f aca="0">F50+SUM(F57:F60)</x:f>
        <x:v>12937.042361365833</x:v>
      </x:c>
      <x:c r="G61" s="199" t="n">
        <x:f aca="0">G50+SUM(G57:G60)</x:f>
        <x:v>16386.21511239961</x:v>
      </x:c>
      <x:c r="H61" s="88"/>
      <x:c r="I61" s="88"/>
      <x:c r="J61" s="88"/>
    </x:row>
    <x:row r="62" ht="19" hidden="0" customHeight="1">
      <x:c r="A62" s="88"/>
      <x:c r="B62" s="111"/>
      <x:c r="C62" s="119"/>
      <x:c r="D62" s="119"/>
      <x:c r="E62" s="119"/>
      <x:c r="F62" s="119"/>
      <x:c r="G62" s="119"/>
      <x:c r="H62" s="88"/>
      <x:c r="I62" s="88"/>
      <x:c r="J62" s="88"/>
    </x:row>
    <x:row r="63" ht="24" hidden="0" customHeight="1">
      <x:c r="A63" s="88"/>
      <x:c r="B63" s="105" t="str">
        <x:v>Balance sheet — assets</x:v>
      </x:c>
      <x:c r="C63" s="151"/>
      <x:c r="D63" s="151"/>
      <x:c r="E63" s="151"/>
      <x:c r="F63" s="151"/>
      <x:c r="G63" s="151"/>
      <x:c r="H63" s="105"/>
      <x:c r="I63" s="105"/>
      <x:c r="J63" s="105"/>
    </x:row>
    <x:row r="64" ht="19" hidden="0" customHeight="1">
      <x:c r="A64" s="88"/>
      <x:c r="B64" s="111" t="str">
        <x:v>Cash</x:v>
      </x:c>
      <x:c r="C64" s="145" t="n">
        <x:f aca="0">C61</x:f>
        <x:v>7884.869312311863</x:v>
      </x:c>
      <x:c r="D64" s="145" t="n">
        <x:f aca="0">D61</x:f>
        <x:v>8444.002594102463</x:v>
      </x:c>
      <x:c r="E64" s="145" t="n">
        <x:f aca="0">E61</x:f>
        <x:v>10064.064452979817</x:v>
      </x:c>
      <x:c r="F64" s="145" t="n">
        <x:f aca="0">F61</x:f>
        <x:v>12937.042361365833</x:v>
      </x:c>
      <x:c r="G64" s="145" t="n">
        <x:f aca="0">G61</x:f>
        <x:v>16386.21511239961</x:v>
      </x:c>
      <x:c r="H64" s="88"/>
      <x:c r="I64" s="88"/>
      <x:c r="J64" s="88"/>
    </x:row>
    <x:row r="65" ht="19" hidden="0" customHeight="1">
      <x:c r="A65" s="88"/>
      <x:c r="B65" s="88" t="str">
        <x:v>Short-term investments</x:v>
      </x:c>
      <x:c r="C65" s="106" t="n">
        <x:f>'Verified Inputs'!$C$11</x:f>
        <x:v>3093</x:v>
      </x:c>
      <x:c r="D65" s="106" t="n">
        <x:f>'Verified Inputs'!$C$11</x:f>
        <x:v>3093</x:v>
      </x:c>
      <x:c r="E65" s="106" t="n">
        <x:f>'Verified Inputs'!$C$11</x:f>
        <x:v>3093</x:v>
      </x:c>
      <x:c r="F65" s="106" t="n">
        <x:f>'Verified Inputs'!$C$11</x:f>
        <x:v>3093</x:v>
      </x:c>
      <x:c r="G65" s="106" t="n">
        <x:f>'Verified Inputs'!$C$11</x:f>
        <x:v>3093</x:v>
      </x:c>
      <x:c r="H65" s="88"/>
      <x:c r="I65" s="88"/>
      <x:c r="J65" s="88"/>
    </x:row>
    <x:row r="66" ht="19" hidden="0" customHeight="1">
      <x:c r="A66" s="111"/>
      <x:c r="B66" s="111" t="str">
        <x:v>Operating current assets</x:v>
      </x:c>
      <x:c r="C66" s="188" t="n">
        <x:f>C29</x:f>
        <x:v>20690.062612883805</x:v>
      </x:c>
      <x:c r="D66" s="188" t="n">
        <x:f>D29</x:f>
        <x:v>22268.45604527393</x:v>
      </x:c>
      <x:c r="E66" s="188" t="n">
        <x:f>E29</x:f>
        <x:v>23973.120952255267</x:v>
      </x:c>
      <x:c r="F66" s="188" t="n">
        <x:f>F29</x:f>
        <x:v>25814.15905179511</x:v>
      </x:c>
      <x:c r="G66" s="188" t="n">
        <x:f>G29</x:f>
        <x:v>27802.48019929815</x:v>
      </x:c>
      <x:c r="H66" s="111"/>
      <x:c r="I66" s="88"/>
      <x:c r="J66" s="88"/>
    </x:row>
    <x:row r="67" ht="19" hidden="0" customHeight="1">
      <x:c r="A67" s="88"/>
      <x:c r="B67" s="88" t="str">
        <x:v>Net PP&amp;E</x:v>
      </x:c>
      <x:c r="C67" s="142" t="n">
        <x:f aca="0">C36</x:f>
        <x:v>3017.12</x:v>
      </x:c>
      <x:c r="D67" s="142" t="n">
        <x:f aca="0">D36</x:f>
        <x:v>3116.24608</x:v>
      </x:c>
      <x:c r="E67" s="142" t="n">
        <x:f aca="0">E36</x:f>
        <x:v>3222.9603264</x:v>
      </x:c>
      <x:c r="F67" s="142" t="n">
        <x:f aca="0">F36</x:f>
        <x:v>3337.8697925120005</x:v>
      </x:c>
      <x:c r="G67" s="142" t="n">
        <x:f aca="0">G36</x:f>
        <x:v>3461.6300959129603</x:v>
      </x:c>
      <x:c r="H67" s="88"/>
      <x:c r="I67" s="88"/>
      <x:c r="J67" s="88"/>
    </x:row>
    <x:row r="68" ht="19" hidden="0" customHeight="1">
      <x:c r="A68" s="88"/>
      <x:c r="B68" s="111" t="str">
        <x:v>Acquired intangibles</x:v>
      </x:c>
      <x:c r="C68" s="145" t="n">
        <x:f aca="0">C37</x:f>
        <x:v>5367.939726027397</x:v>
      </x:c>
      <x:c r="D68" s="145" t="n">
        <x:f aca="0">D37</x:f>
        <x:v>3832.4397260273972</x:v>
      </x:c>
      <x:c r="E68" s="145" t="n">
        <x:f aca="0">E37</x:f>
        <x:v>2292.7328767123286</x:v>
      </x:c>
      <x:c r="F68" s="145" t="n">
        <x:f aca="0">F37</x:f>
        <x:v>757.2328767123286</x:v>
      </x:c>
      <x:c r="G68" s="145" t="n">
        <x:f aca="0">G37</x:f>
        <x:v>0</x:v>
      </x:c>
      <x:c r="H68" s="88"/>
      <x:c r="I68" s="88"/>
      <x:c r="J68" s="88"/>
    </x:row>
    <x:row r="69" ht="19" hidden="0" customHeight="1">
      <x:c r="A69" s="88"/>
      <x:c r="B69" s="88" t="str">
        <x:v>Goodwill</x:v>
      </x:c>
      <x:c r="C69" s="142" t="n">
        <x:f aca="0">C38</x:f>
        <x:v>59250</x:v>
      </x:c>
      <x:c r="D69" s="142" t="n">
        <x:f aca="0">D38</x:f>
        <x:v>59250</x:v>
      </x:c>
      <x:c r="E69" s="142" t="n">
        <x:f aca="0">E38</x:f>
        <x:v>59250</x:v>
      </x:c>
      <x:c r="F69" s="142" t="n">
        <x:f aca="0">F38</x:f>
        <x:v>59250</x:v>
      </x:c>
      <x:c r="G69" s="142" t="n">
        <x:f aca="0">G38</x:f>
        <x:v>59250</x:v>
      </x:c>
      <x:c r="H69" s="88"/>
      <x:c r="I69" s="88"/>
      <x:c r="J69" s="88"/>
    </x:row>
    <x:row r="70" ht="19" hidden="0" customHeight="1">
      <x:c r="A70" s="88"/>
      <x:c r="B70" s="88" t="str">
        <x:v>Operating lease assets</x:v>
      </x:c>
      <x:c r="C70" s="195" t="n">
        <x:f aca="0">'Verified Inputs'!$C$23</x:f>
        <x:v>1787</x:v>
      </x:c>
      <x:c r="D70" s="195" t="n">
        <x:f aca="0">'Verified Inputs'!$C$23</x:f>
        <x:v>1787</x:v>
      </x:c>
      <x:c r="E70" s="195" t="n">
        <x:f aca="0">'Verified Inputs'!$C$23</x:f>
        <x:v>1787</x:v>
      </x:c>
      <x:c r="F70" s="195" t="n">
        <x:f aca="0">'Verified Inputs'!$C$23</x:f>
        <x:v>1787</x:v>
      </x:c>
      <x:c r="G70" s="195" t="n">
        <x:f aca="0">'Verified Inputs'!$C$23</x:f>
        <x:v>1787</x:v>
      </x:c>
      <x:c r="H70" s="88"/>
      <x:c r="I70" s="88"/>
      <x:c r="J70" s="88"/>
    </x:row>
    <x:row r="71" ht="19" hidden="0" customHeight="1">
      <x:c r="A71" s="88"/>
      <x:c r="B71" s="88" t="str">
        <x:v>Other long-term assets</x:v>
      </x:c>
      <x:c r="C71" s="195" t="n">
        <x:f aca="0">'Verified Inputs'!$C$24</x:f>
        <x:v>17316</x:v>
      </x:c>
      <x:c r="D71" s="195" t="n">
        <x:f aca="0">'Verified Inputs'!$C$24</x:f>
        <x:v>17316</x:v>
      </x:c>
      <x:c r="E71" s="195" t="n">
        <x:f aca="0">'Verified Inputs'!$C$24</x:f>
        <x:v>17316</x:v>
      </x:c>
      <x:c r="F71" s="195" t="n">
        <x:f aca="0">'Verified Inputs'!$C$24</x:f>
        <x:v>17316</x:v>
      </x:c>
      <x:c r="G71" s="195" t="n">
        <x:f aca="0">'Verified Inputs'!$C$24</x:f>
        <x:v>17316</x:v>
      </x:c>
      <x:c r="H71" s="88"/>
      <x:c r="I71" s="88"/>
      <x:c r="J71" s="88"/>
    </x:row>
    <x:row r="72" ht="19" hidden="0" customHeight="1">
      <x:c r="A72" s="88"/>
      <x:c r="B72" s="198" t="str">
        <x:v>Total assets</x:v>
      </x:c>
      <x:c r="C72" s="199" t="n">
        <x:f aca="0">SUM(C64:C71)</x:f>
        <x:v>118405.99165122307</x:v>
      </x:c>
      <x:c r="D72" s="199" t="n">
        <x:f aca="0">SUM(D64:D71)</x:f>
        <x:v>119107.1444454038</x:v>
      </x:c>
      <x:c r="E72" s="199" t="n">
        <x:f aca="0">SUM(E64:E71)</x:f>
        <x:v>120998.87860834741</x:v>
      </x:c>
      <x:c r="F72" s="199" t="n">
        <x:f aca="0">SUM(F64:F71)</x:f>
        <x:v>124292.30408238526</x:v>
      </x:c>
      <x:c r="G72" s="199" t="n">
        <x:f aca="0">SUM(G64:G71)</x:f>
        <x:v>129096.32540761071</x:v>
      </x:c>
      <x:c r="H72" s="88"/>
      <x:c r="I72" s="88"/>
      <x:c r="J72" s="88"/>
    </x:row>
    <x:row r="73" ht="24" hidden="0" customHeight="1">
      <x:c r="A73" s="88"/>
      <x:c r="B73" s="152" t="str">
        <x:v>Balance sheet — liabilities and equity</x:v>
      </x:c>
      <x:c r="C73" s="105"/>
      <x:c r="D73" s="105"/>
      <x:c r="E73" s="105"/>
      <x:c r="F73" s="105"/>
      <x:c r="G73" s="105"/>
      <x:c r="H73" s="105"/>
      <x:c r="I73" s="105"/>
      <x:c r="J73" s="105"/>
    </x:row>
    <x:row r="74" ht="19" hidden="0" customHeight="1">
      <x:c r="A74" s="88"/>
      <x:c r="B74" s="88" t="str">
        <x:v>Operating current liabilities</x:v>
      </x:c>
      <x:c r="C74" s="98" t="n">
        <x:f>C30</x:f>
        <x:v>36119.16917519567</x:v>
      </x:c>
      <x:c r="D74" s="98" t="n">
        <x:f>D30</x:f>
        <x:v>38874.610783865144</x:v>
      </x:c>
      <x:c r="E74" s="98" t="n">
        <x:f>E30</x:f>
        <x:v>41850.48772122818</x:v>
      </x:c>
      <x:c r="F74" s="98" t="n">
        <x:f>F30</x:f>
        <x:v>45064.43481358026</x:v>
      </x:c>
      <x:c r="G74" s="98" t="n">
        <x:f>G30</x:f>
        <x:v>48535.497673320504</x:v>
      </x:c>
      <x:c r="H74" s="88"/>
      <x:c r="I74" s="88"/>
      <x:c r="J74" s="88"/>
    </x:row>
    <x:row r="75" ht="19" hidden="0" customHeight="1">
      <x:c r="A75" s="88"/>
      <x:c r="B75" s="88" t="str">
        <x:v>Funded debt</x:v>
      </x:c>
      <x:c r="C75" s="98" t="n">
        <x:f>C49</x:f>
        <x:v>39288</x:v>
      </x:c>
      <x:c r="D75" s="98" t="n">
        <x:f>D49</x:f>
        <x:v>39288</x:v>
      </x:c>
      <x:c r="E75" s="98" t="n">
        <x:f>E49</x:f>
        <x:v>39288</x:v>
      </x:c>
      <x:c r="F75" s="98" t="n">
        <x:f>F49</x:f>
        <x:v>39288</x:v>
      </x:c>
      <x:c r="G75" s="98" t="n">
        <x:f>G49</x:f>
        <x:v>39288</x:v>
      </x:c>
      <x:c r="H75" s="88"/>
      <x:c r="I75" s="88"/>
      <x:c r="J75" s="88"/>
    </x:row>
    <x:row r="76" ht="19" hidden="0" customHeight="1">
      <x:c r="A76" s="88"/>
      <x:c r="B76" s="88" t="str">
        <x:v>Operating lease liabilities</x:v>
      </x:c>
      <x:c r="C76" s="106" t="n">
        <x:f>'Verified Inputs'!$C$25</x:f>
        <x:v>2455</x:v>
      </x:c>
      <x:c r="D76" s="106" t="n">
        <x:f>'Verified Inputs'!$C$25</x:f>
        <x:v>2455</x:v>
      </x:c>
      <x:c r="E76" s="106" t="n">
        <x:f>'Verified Inputs'!$C$25</x:f>
        <x:v>2455</x:v>
      </x:c>
      <x:c r="F76" s="106" t="n">
        <x:f>'Verified Inputs'!$C$25</x:f>
        <x:v>2455</x:v>
      </x:c>
      <x:c r="G76" s="106" t="n">
        <x:f>'Verified Inputs'!$C$25</x:f>
        <x:v>2455</x:v>
      </x:c>
      <x:c r="H76" s="88"/>
      <x:c r="I76" s="88"/>
      <x:c r="J76" s="88"/>
    </x:row>
    <x:row r="77" ht="19" hidden="0" customHeight="1">
      <x:c r="A77" s="88"/>
      <x:c r="B77" s="88" t="str">
        <x:v>Other long-term liabilities</x:v>
      </x:c>
      <x:c r="C77" s="106" t="n">
        <x:f>'Verified Inputs'!$C$26</x:f>
        <x:v>3694</x:v>
      </x:c>
      <x:c r="D77" s="106" t="n">
        <x:f>'Verified Inputs'!$C$26</x:f>
        <x:v>3694</x:v>
      </x:c>
      <x:c r="E77" s="106" t="n">
        <x:f>'Verified Inputs'!$C$26</x:f>
        <x:v>3694</x:v>
      </x:c>
      <x:c r="F77" s="106" t="n">
        <x:f>'Verified Inputs'!$C$26</x:f>
        <x:v>3694</x:v>
      </x:c>
      <x:c r="G77" s="106" t="n">
        <x:f>'Verified Inputs'!$C$26</x:f>
        <x:v>3694</x:v>
      </x:c>
      <x:c r="H77" s="88"/>
      <x:c r="I77" s="88"/>
      <x:c r="J77" s="88"/>
    </x:row>
    <x:row r="78" ht="19" hidden="0" customHeight="1">
      <x:c r="A78" s="88"/>
      <x:c r="B78" s="198" t="str">
        <x:v>Total liabilities</x:v>
      </x:c>
      <x:c r="C78" s="206" t="n">
        <x:f>SUM(C74:C77)</x:f>
        <x:v>81556.16917519567</x:v>
      </x:c>
      <x:c r="D78" s="206" t="n">
        <x:f>SUM(D74:D77)</x:f>
        <x:v>84311.61078386515</x:v>
      </x:c>
      <x:c r="E78" s="206" t="n">
        <x:f>SUM(E74:E77)</x:f>
        <x:v>87287.48772122819</x:v>
      </x:c>
      <x:c r="F78" s="206" t="n">
        <x:f>SUM(F74:F77)</x:f>
        <x:v>90501.43481358026</x:v>
      </x:c>
      <x:c r="G78" s="206" t="n">
        <x:f>SUM(G74:G77)</x:f>
        <x:v>93972.4976733205</x:v>
      </x:c>
      <x:c r="H78" s="88"/>
      <x:c r="I78" s="88"/>
      <x:c r="J78" s="88"/>
    </x:row>
    <x:row r="79" ht="19" hidden="0" customHeight="1">
      <x:c r="A79" s="88"/>
      <x:c r="B79" s="88" t="str">
        <x:v>Equity roll-forward</x:v>
      </x:c>
      <x:c r="C79" s="106" t="n">
        <x:f>'Verified Inputs'!$C$17+C25+C21+C58+C59</x:f>
        <x:v>36849.8224760274</x:v>
      </x:c>
      <x:c r="D79" s="98" t="n">
        <x:f>C79+D25+D21+D58+D59</x:f>
        <x:v>34795.53366153865</x:v>
      </x:c>
      <x:c r="E79" s="98" t="n">
        <x:f>D79+E25+E21+E58+E59</x:f>
        <x:v>33711.39088711924</x:v>
      </x:c>
      <x:c r="F79" s="98" t="n">
        <x:f>E79+F25+F21+F58+F59</x:f>
        <x:v>33790.86926880502</x:v>
      </x:c>
      <x:c r="G79" s="98" t="n">
        <x:f>F79+G25+G21+G58+G59</x:f>
        <x:v>35123.827734290215</x:v>
      </x:c>
      <x:c r="H79" s="88"/>
      <x:c r="I79" s="88"/>
      <x:c r="J79" s="88"/>
    </x:row>
    <x:row r="80" ht="19" hidden="0" customHeight="1">
      <x:c r="A80" s="88"/>
      <x:c r="B80" s="198" t="str">
        <x:v>Liabilities + equity</x:v>
      </x:c>
      <x:c r="C80" s="206" t="n">
        <x:f>C78+C79</x:f>
        <x:v>118405.99165122307</x:v>
      </x:c>
      <x:c r="D80" s="206" t="n">
        <x:f>D78+D79</x:f>
        <x:v>119107.1444454038</x:v>
      </x:c>
      <x:c r="E80" s="206" t="n">
        <x:f>E78+E79</x:f>
        <x:v>120998.87860834743</x:v>
      </x:c>
      <x:c r="F80" s="206" t="n">
        <x:f>F78+F79</x:f>
        <x:v>124292.30408238528</x:v>
      </x:c>
      <x:c r="G80" s="206" t="n">
        <x:f>G78+G79</x:f>
        <x:v>129096.32540761071</x:v>
      </x:c>
      <x:c r="H80" s="88"/>
      <x:c r="I80" s="88"/>
      <x:c r="J80" s="88"/>
    </x:row>
    <x:row r="81" ht="19" hidden="0" customHeight="1">
      <x:c r="A81" s="88"/>
      <x:c r="B81" s="198" t="str">
        <x:v>Balance difference</x:v>
      </x:c>
      <x:c r="C81" s="206" t="n">
        <x:f>C72-C80</x:f>
        <x:v>0</x:v>
      </x:c>
      <x:c r="D81" s="206" t="n">
        <x:f>D72-D80</x:f>
        <x:v>0</x:v>
      </x:c>
      <x:c r="E81" s="206" t="n">
        <x:f>E72-E80</x:f>
        <x:v>-1.4551915228366852e-11</x:v>
      </x:c>
      <x:c r="F81" s="206" t="n">
        <x:f>F72-F80</x:f>
        <x:v>-1.4551915228366852e-11</x:v>
      </x:c>
      <x:c r="G81" s="206" t="n">
        <x:f>G72-G80</x:f>
        <x:v>0</x:v>
      </x:c>
      <x:c r="H81" s="88"/>
      <x:c r="I81" s="88"/>
      <x:c r="J81" s="88"/>
    </x:row>
    <x:row r="82" ht="19" hidden="0" customHeight="1">
      <x:c r="A82" s="88"/>
      <x:c r="B82" s="88"/>
      <x:c r="C82" s="88"/>
      <x:c r="D82" s="88"/>
      <x:c r="E82" s="88"/>
      <x:c r="F82" s="88"/>
      <x:c r="G82" s="88"/>
      <x:c r="H82" s="88"/>
      <x:c r="I82" s="88"/>
      <x:c r="J82" s="88"/>
    </x:row>
    <x:row r="83" ht="24" hidden="0" customHeight="1">
      <x:c r="A83" s="88"/>
      <x:c r="B83" s="105" t="str">
        <x:v>Cash flow for valuation</x:v>
      </x:c>
      <x:c r="C83" s="105"/>
      <x:c r="D83" s="105"/>
      <x:c r="E83" s="105"/>
      <x:c r="F83" s="105"/>
      <x:c r="G83" s="105"/>
      <x:c r="H83" s="105"/>
      <x:c r="I83" s="105"/>
      <x:c r="J83" s="105"/>
    </x:row>
    <x:row r="84" ht="19" hidden="0" customHeight="1">
      <x:c r="A84" s="88"/>
      <x:c r="B84" s="88" t="str">
        <x:v>EBIT</x:v>
      </x:c>
      <x:c r="C84" s="98" t="n">
        <x:f>C15</x:f>
        <x:v>4578.050000000001</x:v>
      </x:c>
      <x:c r="D84" s="98" t="n">
        <x:f>D15</x:f>
        <x:v>10110.86016</x:v>
      </x:c>
      <x:c r="E84" s="98" t="n">
        <x:f>E15</x:f>
        <x:v>11044.924502400001</x:v>
      </x:c>
      <x:c r="F84" s="98" t="n">
        <x:f>F15</x:f>
        <x:v>12065.493941760002</x:v>
      </x:c>
      <x:c r="G84" s="98" t="n">
        <x:f>G15</x:f>
        <x:v>13180.472312202244</x:v>
      </x:c>
      <x:c r="H84" s="88"/>
      <x:c r="I84" s="88"/>
      <x:c r="J84" s="88"/>
    </x:row>
    <x:row r="85" ht="19" hidden="0" customHeight="1">
      <x:c r="A85" s="88"/>
      <x:c r="B85" s="88" t="str">
        <x:v>Cash tax on EBIT</x:v>
      </x:c>
      <x:c r="C85" s="106" t="n">
        <x:f>-MAX(0,C84)*'Assumptions'!$F$14</x:f>
        <x:v>-1030.0612500000002</x:v>
      </x:c>
      <x:c r="D85" s="106" t="n">
        <x:f>-MAX(0,D84)*'Assumptions'!$F$14</x:f>
        <x:v>-2274.943536</x:v>
      </x:c>
      <x:c r="E85" s="106" t="n">
        <x:f>-MAX(0,E84)*'Assumptions'!$F$14</x:f>
        <x:v>-2485.1080130400005</x:v>
      </x:c>
      <x:c r="F85" s="106" t="n">
        <x:f>-MAX(0,F84)*'Assumptions'!$F$14</x:f>
        <x:v>-2714.7361368960005</x:v>
      </x:c>
      <x:c r="G85" s="106" t="n">
        <x:f>-MAX(0,G84)*'Assumptions'!$F$14</x:f>
        <x:v>-2965.606270245505</x:v>
      </x:c>
      <x:c r="H85" s="88"/>
      <x:c r="I85" s="88"/>
      <x:c r="J85" s="88"/>
    </x:row>
    <x:row r="86" ht="19" hidden="0" customHeight="1">
      <x:c r="A86" s="88"/>
      <x:c r="B86" s="88" t="str">
        <x:v>NOPAT</x:v>
      </x:c>
      <x:c r="C86" s="98" t="n">
        <x:f>C84+C85</x:f>
        <x:v>3547.988750000001</x:v>
      </x:c>
      <x:c r="D86" s="98" t="n">
        <x:f>D84+D85</x:f>
        <x:v>7835.9166239999995</x:v>
      </x:c>
      <x:c r="E86" s="98" t="n">
        <x:f>E84+E85</x:f>
        <x:v>8559.81648936</x:v>
      </x:c>
      <x:c r="F86" s="98" t="n">
        <x:f>F84+F85</x:f>
        <x:v>9350.757804864</x:v>
      </x:c>
      <x:c r="G86" s="98" t="n">
        <x:f>G84+G85</x:f>
        <x:v>10214.866041956739</x:v>
      </x:c>
      <x:c r="H86" s="88"/>
      <x:c r="I86" s="88"/>
      <x:c r="J86" s="88"/>
    </x:row>
    <x:row r="87" ht="19" hidden="0" customHeight="1">
      <x:c r="A87" s="88"/>
      <x:c r="B87" s="88" t="str">
        <x:v>Add D&amp;A</x:v>
      </x:c>
      <x:c r="C87" s="98" t="n">
        <x:f>C19</x:f>
        <x:v>1127.6402739726027</x:v>
      </x:c>
      <x:c r="D87" s="98" t="n">
        <x:f>D19</x:f>
        <x:v>2278.9456</x:v>
      </x:c>
      <x:c r="E87" s="98" t="n">
        <x:f>E19</x:f>
        <x:v>2340.0636973150686</x:v>
      </x:c>
      <x:c r="F87" s="98" t="n">
        <x:f>F19</x:f>
        <x:v>2397.3209958400003</x:v>
      </x:c>
      <x:c r="G87" s="98" t="n">
        <x:f>G19</x:f>
        <x:v>1685.4351522195288</x:v>
      </x:c>
      <x:c r="H87" s="88"/>
      <x:c r="I87" s="88"/>
      <x:c r="J87" s="88"/>
    </x:row>
    <x:row r="88" ht="19" hidden="0" customHeight="1">
      <x:c r="A88" s="88"/>
      <x:c r="B88" s="88" t="str">
        <x:v>Less capex</x:v>
      </x:c>
      <x:c r="C88" s="98" t="n">
        <x:f>-C35</x:f>
        <x:v>-328.70000000000005</x:v>
      </x:c>
      <x:c r="D88" s="98" t="n">
        <x:f>-D35</x:f>
        <x:v>-842.5716800000001</x:v>
      </x:c>
      <x:c r="E88" s="98" t="n">
        <x:f>-E35</x:f>
        <x:v>-907.0710944000001</x:v>
      </x:c>
      <x:c r="F88" s="98" t="n">
        <x:f>-F35</x:f>
        <x:v>-976.7304619520002</x:v>
      </x:c>
      <x:c r="G88" s="98" t="n">
        <x:f>-G35</x:f>
        <x:v>-1051.9625789081604</x:v>
      </x:c>
      <x:c r="H88" s="88"/>
      <x:c r="I88" s="88"/>
      <x:c r="J88" s="88"/>
    </x:row>
    <x:row r="89" ht="19" hidden="0" customHeight="1">
      <x:c r="A89" s="88"/>
      <x:c r="B89" s="88" t="str">
        <x:v>Cash from working capital</x:v>
      </x:c>
      <x:c r="C89" s="98" t="n">
        <x:f>C32</x:f>
        <x:v>304.10656231186294</x:v>
      </x:c>
      <x:c r="D89" s="98" t="n">
        <x:f>D32</x:f>
        <x:v>1177.0481762793497</x:v>
      </x:c>
      <x:c r="E89" s="98" t="n">
        <x:f>E32</x:f>
        <x:v>1271.2120303816992</x:v>
      </x:c>
      <x:c r="F89" s="98" t="n">
        <x:f>F32</x:f>
        <x:v>1372.908992812234</x:v>
      </x:c>
      <x:c r="G89" s="98" t="n">
        <x:f>G32</x:f>
        <x:v>1482.7417122372099</x:v>
      </x:c>
      <x:c r="H89" s="88"/>
      <x:c r="I89" s="88"/>
      <x:c r="J89" s="88"/>
    </x:row>
    <x:row r="90" ht="19" hidden="0" customHeight="1">
      <x:c r="A90" s="88"/>
      <x:c r="B90" s="198" t="str">
        <x:v>Unlevered cash flow (SBC expensed)</x:v>
      </x:c>
      <x:c r="C90" s="206" t="n">
        <x:f>SUM(C86:C89)</x:f>
        <x:v>4651.035586284467</x:v>
      </x:c>
      <x:c r="D90" s="206" t="n">
        <x:f>SUM(D86:D89)</x:f>
        <x:v>10449.33872027935</x:v>
      </x:c>
      <x:c r="E90" s="206" t="n">
        <x:f>SUM(E86:E89)</x:f>
        <x:v>11264.021122656768</x:v>
      </x:c>
      <x:c r="F90" s="206" t="n">
        <x:f>SUM(F86:F89)</x:f>
        <x:v>12144.257331564235</x:v>
      </x:c>
      <x:c r="G90" s="206" t="n">
        <x:f>SUM(G86:G89)</x:f>
        <x:v>12331.080327505317</x:v>
      </x:c>
      <x:c r="H90" s="88"/>
      <x:c r="I90" s="88"/>
      <x:c r="J90" s="88"/>
    </x:row>
    <x:row r="91" ht="19" hidden="0" customHeight="1">
      <x:c r="A91" s="88"/>
      <x:c r="B91" s="88"/>
      <x:c r="C91" s="88"/>
      <x:c r="D91" s="88"/>
      <x:c r="E91" s="88"/>
      <x:c r="F91" s="88"/>
      <x:c r="G91" s="88"/>
      <x:c r="H91" s="88"/>
      <x:c r="I91" s="88"/>
      <x:c r="J91" s="88"/>
    </x:row>
    <x:row r="92" ht="19" hidden="0" customHeight="1">
      <x:c r="A92" s="88"/>
      <x:c r="B92" s="88" t="str">
        <x:v>Annualized EBITDA for comparison</x:v>
      </x:c>
      <x:c r="C92" s="106" t="n">
        <x:f>C9*C13-(C9*('Assumptions'!$F$20-'Verified Inputs'!$C$52))+C9*'Assumptions'!$F$15+'Verified Inputs'!$C$21/'Verified Inputs'!$C$51</x:f>
        <x:v>11482.300000000001</x:v>
      </x:c>
      <x:c r="D92" s="98" t="n">
        <x:f>D20</x:f>
        <x:v>12389.80576</x:v>
      </x:c>
      <x:c r="E92" s="98" t="n">
        <x:f>E20</x:f>
        <x:v>13384.98819971507</x:v>
      </x:c>
      <x:c r="F92" s="98" t="n">
        <x:f>F20</x:f>
        <x:v>14462.814937600002</x:v>
      </x:c>
      <x:c r="G92" s="98" t="n">
        <x:f>G20</x:f>
        <x:v>14865.907464421773</x:v>
      </x:c>
      <x:c r="H92" s="88"/>
      <x:c r="I92" s="88"/>
      <x:c r="J92" s="88"/>
    </x:row>
    <x:row r="93" ht="19" hidden="0" customHeight="1">
      <x:c r="A93" s="88"/>
      <x:c r="B93" s="88" t="str">
        <x:v>Cash before discretionary distributions</x:v>
      </x:c>
      <x:c r="C93" s="98" t="n">
        <x:f>C50+C57+C48</x:f>
        <x:v>14254.097367106384</x:v>
      </x:c>
      <x:c r="D93" s="98" t="n">
        <x:f>D50+D57+D48</x:f>
        <x:v>21127.650894102466</x:v>
      </x:c>
      <x:c r="E93" s="98" t="n">
        <x:f>E50+E57+E48</x:f>
        <x:v>22833.110305401737</x:v>
      </x:c>
      <x:c r="F93" s="98" t="n">
        <x:f>F50+F57+F48</x:f>
        <x:v>25723.224842835836</x:v>
      </x:c>
      <x:c r="G93" s="98" t="n">
        <x:f>G50+G57+G48</x:f>
        <x:v>29225.983068313708</x:v>
      </x:c>
      <x:c r="H93" s="88"/>
      <x:c r="I93" s="88"/>
      <x:c r="J93" s="88"/>
    </x:row>
    <x:row r="94" ht="19" hidden="0" customHeight="1">
      <x:c r="A94" s="88"/>
      <x:c r="B94" s="88" t="str">
        <x:v>Minimum-cash shortfall</x:v>
      </x:c>
      <x:c r="C94" s="106" t="n">
        <x:f>MAX(0,'Verified Inputs'!$C$27-C61)</x:f>
        <x:v>0</x:v>
      </x:c>
      <x:c r="D94" s="106" t="n">
        <x:f>MAX(0,'Verified Inputs'!$C$27-D61)</x:f>
        <x:v>0</x:v>
      </x:c>
      <x:c r="E94" s="106" t="n">
        <x:f>MAX(0,'Verified Inputs'!$C$27-E61)</x:f>
        <x:v>0</x:v>
      </x:c>
      <x:c r="F94" s="106" t="n">
        <x:f>MAX(0,'Verified Inputs'!$C$27-F61)</x:f>
        <x:v>0</x:v>
      </x:c>
      <x:c r="G94" s="106" t="n">
        <x:f>MAX(0,'Verified Inputs'!$C$27-G61)</x:f>
        <x:v>0</x:v>
      </x:c>
      <x:c r="H94" s="88"/>
      <x:c r="I94" s="88"/>
      <x:c r="J94" s="88"/>
    </x:row>
    <x:row r="95" ht="19" hidden="0" customHeight="1">
      <x:c r="A95" s="88"/>
      <x:c r="B95" s="88" t="str">
        <x:v>Full-year revenue check</x:v>
      </x:c>
      <x:c r="C95" s="106" t="n">
        <x:f>C9-'Verified Inputs'!$C$36-C12</x:f>
        <x:v>0</x:v>
      </x:c>
      <x:c r="D95" s="98" t="n">
        <x:f>D9-D12</x:f>
        <x:v>0</x:v>
      </x:c>
      <x:c r="E95" s="98" t="n">
        <x:f>E9-E12</x:f>
        <x:v>0</x:v>
      </x:c>
      <x:c r="F95" s="98" t="n">
        <x:f>F9-F12</x:f>
        <x:v>0</x:v>
      </x:c>
      <x:c r="G95" s="98" t="n">
        <x:f>G9-G12</x:f>
        <x:v>0</x:v>
      </x:c>
      <x:c r="H95" s="88"/>
      <x:c r="I95" s="88"/>
      <x:c r="J95" s="88"/>
    </x:row>
    <x:row r="96" ht="19" hidden="0" customHeight="1">
      <x:c r="A96" s="88"/>
      <x:c r="B96" s="88"/>
      <x:c r="C96" s="88"/>
      <x:c r="D96" s="88"/>
      <x:c r="E96" s="88"/>
      <x:c r="F96" s="88"/>
      <x:c r="G96" s="88"/>
      <x:c r="H96" s="88"/>
      <x:c r="I96" s="88"/>
      <x:c r="J96" s="88"/>
    </x:row>
    <x:row r="97" ht="19" hidden="0" customHeight="1">
      <x:c r="A97" s="88"/>
      <x:c r="B97" s="88"/>
      <x:c r="C97" s="88"/>
      <x:c r="D97" s="88"/>
      <x:c r="E97" s="88"/>
      <x:c r="F97" s="88"/>
      <x:c r="G97" s="88"/>
      <x:c r="H97" s="88"/>
      <x:c r="I97" s="88"/>
      <x:c r="J97" s="88"/>
    </x:row>
    <x:row r="98" ht="19" hidden="0" customHeight="1">
      <x:c r="A98" s="88"/>
      <x:c r="B98" s="88"/>
      <x:c r="C98" s="88"/>
      <x:c r="D98" s="88"/>
      <x:c r="E98" s="88"/>
      <x:c r="F98" s="88"/>
      <x:c r="G98" s="88"/>
      <x:c r="H98" s="88"/>
      <x:c r="I98" s="88"/>
      <x:c r="J98" s="88"/>
    </x:row>
    <x:row r="99" ht="19" hidden="0" customHeight="1">
      <x:c r="A99" s="88"/>
      <x:c r="B99" s="107" t="str">
        <x:v>This is a normalized operating projection, not a GAAP earnings forecast. Strategic-investment gains, future M&amp;A purchase accounting and tax-loss refunds are excluded. Cash distributions are capped by liquidity; debt changes are explicit inputs. Asset and equity balances roll from disclosed opening components.</x:v>
      </x:c>
      <x:c r="C99" s="107"/>
      <x:c r="D99" s="107"/>
      <x:c r="E99" s="107"/>
      <x:c r="F99" s="107"/>
      <x:c r="G99" s="107"/>
      <x:c r="H99" s="107"/>
      <x:c r="I99" s="107"/>
      <x:c r="J99" s="107"/>
    </x:row>
    <x:row r="100" ht="19" hidden="0" customHeight="1">
      <x:c r="A100" s="88"/>
      <x:c r="B100" s="107"/>
      <x:c r="C100" s="107"/>
      <x:c r="D100" s="107"/>
      <x:c r="E100" s="107"/>
      <x:c r="F100" s="107"/>
      <x:c r="G100" s="107"/>
      <x:c r="H100" s="107"/>
      <x:c r="I100" s="107"/>
      <x:c r="J100" s="107"/>
    </x:row>
    <x:row r="101" ht="19" hidden="0" customHeight="1">
      <x:c r="A101" s="88"/>
      <x:c r="B101" s="107"/>
      <x:c r="C101" s="107"/>
      <x:c r="D101" s="107"/>
      <x:c r="E101" s="107"/>
      <x:c r="F101" s="107"/>
      <x:c r="G101" s="107"/>
      <x:c r="H101" s="107"/>
      <x:c r="I101" s="107"/>
      <x:c r="J101" s="107"/>
    </x:row>
    <x:row r="102" ht="19" hidden="0" customHeight="1">
      <x:c r="A102" s="88"/>
      <x:c r="B102" s="107"/>
      <x:c r="C102" s="107"/>
      <x:c r="D102" s="107"/>
      <x:c r="E102" s="107"/>
      <x:c r="F102" s="107"/>
      <x:c r="G102" s="107"/>
      <x:c r="H102" s="107"/>
      <x:c r="I102" s="107"/>
      <x:c r="J102" s="107"/>
    </x:row>
    <x:row r="103" ht="19" hidden="0" customHeight="1">
      <x:c r="A103" s="88"/>
      <x:c r="B103" s="88"/>
      <x:c r="C103" s="88"/>
      <x:c r="D103" s="88"/>
      <x:c r="E103" s="88"/>
      <x:c r="F103" s="88"/>
      <x:c r="G103" s="88"/>
      <x:c r="H103" s="88"/>
      <x:c r="I103" s="88"/>
      <x:c r="J103" s="88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15" hidden="0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15" hidden="0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15" hidden="0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15" hidden="0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15" hidden="0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15" hidden="0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15" hidden="0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15" hidden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15" hidden="0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15" hidden="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15" hidden="0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15" hidden="0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15" hidden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15" hidden="0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15" hidden="0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15" hidden="0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15" hidden="0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15" hidden="0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15" hidden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15" hidden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  <x:row r="141" ht="15" hidden="0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</x:row>
    <x:row r="142" ht="15" hidden="0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</x:row>
    <x:row r="143" ht="15" hidden="0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</x:row>
    <x:row r="144" ht="15" hidden="0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</x:row>
    <x:row r="145" ht="15" hidden="0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</x:row>
    <x:row r="146" ht="15" hidden="0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</x:row>
    <x:row r="147" ht="15" hidden="0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</x:row>
    <x:row r="148" ht="15" hidden="0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</x:row>
    <x:row r="149" ht="15" hidden="0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</x:row>
    <x:row r="150" ht="15" hidden="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</x:row>
  </x:sheetData>
  <x:mergeCells>
    <x:mergeCell ref="A1:J1"/>
    <x:mergeCell ref="A2:J3"/>
    <x:mergeCell ref="B8:J8"/>
    <x:mergeCell ref="B28:J28"/>
    <x:mergeCell ref="B34:J34"/>
    <x:mergeCell ref="B39:J39"/>
    <x:mergeCell ref="B46:J46"/>
    <x:mergeCell ref="B63:J63"/>
    <x:mergeCell ref="B73:J73"/>
    <x:mergeCell ref="B83:J83"/>
    <x:mergeCell ref="B99:J102"/>
  </x:mergeCells>
  <x:pageMargins left="0.7" right="0.7" top="0.75" bottom="0.75" header="0.3" footer="0.3"/>
  <x:legacyDrawing xmlns:r="http://schemas.openxmlformats.org/officeDocument/2006/relationships" r:id="R3df1f04389674716"/>
</x:worksheet>
</file>

<file path=xl/worksheets/sheet6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SOFTWARE CASH FLOW | SBC AND RPO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RPO is contracted future revenue, not retention. SBC remains a cost when valuing the business.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88" t="str">
        <x:v>RPO at July 31, 2026</x:v>
      </x:c>
      <x:c r="C5" s="142" t="n">
        <x:v>66300</x:v>
      </x:c>
      <x:c r="D5" s="88"/>
      <x:c r="E5" s="88"/>
      <x:c r="F5" s="88"/>
      <x:c r="G5" s="88"/>
      <x:c r="H5" s="88"/>
      <x:c r="I5" s="88"/>
      <x:c r="J5" s="88"/>
    </x:row>
    <x:row r="6" ht="19" hidden="0" customHeight="1">
      <x:c r="A6" s="88"/>
      <x:c r="B6" s="88" t="str">
        <x:v>Current RPO</x:v>
      </x:c>
      <x:c r="C6" s="142" t="n">
        <x:v>33500</x:v>
      </x:c>
      <x:c r="D6" s="88"/>
      <x:c r="E6" s="88"/>
      <x:c r="F6" s="88"/>
      <x:c r="G6" s="88"/>
      <x:c r="H6" s="88"/>
      <x:c r="I6" s="88"/>
      <x:c r="J6" s="88"/>
    </x:row>
    <x:row r="7" ht="19" hidden="0" customHeight="1">
      <x:c r="A7" s="88"/>
      <x:c r="B7" s="88" t="str">
        <x:v>cRPO growth, constant currency</x:v>
      </x:c>
      <x:c r="C7" s="138" t="n">
        <x:v>0.14</x:v>
      </x:c>
      <x:c r="D7" s="88"/>
      <x:c r="E7" s="88"/>
      <x:c r="F7" s="88"/>
      <x:c r="G7" s="88"/>
      <x:c r="H7" s="88"/>
      <x:c r="I7" s="88"/>
      <x:c r="J7" s="88"/>
    </x:row>
    <x:row r="8" ht="19" hidden="0" customHeight="1">
      <x:c r="A8" s="88"/>
      <x:c r="B8" s="125"/>
      <x:c r="C8" s="88"/>
      <x:c r="D8" s="88"/>
      <x:c r="E8" s="88"/>
      <x:c r="F8" s="88"/>
      <x:c r="G8" s="88"/>
      <x:c r="H8" s="88"/>
      <x:c r="I8" s="88"/>
      <x:c r="J8" s="88"/>
    </x:row>
    <x:row r="9" ht="19" hidden="0" customHeight="1">
      <x:c r="A9" s="88"/>
      <x:c r="B9" s="88"/>
      <x:c r="C9" s="88"/>
      <x:c r="D9" s="88"/>
      <x:c r="E9" s="88"/>
      <x:c r="F9" s="88"/>
      <x:c r="G9" s="88"/>
      <x:c r="H9" s="88"/>
      <x:c r="I9" s="88"/>
      <x:c r="J9" s="88"/>
    </x:row>
    <x:row r="10" ht="19" hidden="0" customHeight="1">
      <x:c r="A10" s="111"/>
      <x:c r="B10" s="111" t="str">
        <x:v>Period</x:v>
      </x:c>
      <x:c r="C10" s="257" t="str">
        <x:f>'Operating Forecast'!C5</x:f>
        <x:v>H2 FY2027E</x:v>
      </x:c>
      <x:c r="D10" s="257" t="str">
        <x:f>'Operating Forecast'!D5</x:f>
        <x:v>FY2028E</x:v>
      </x:c>
      <x:c r="E10" s="257" t="str">
        <x:f>'Operating Forecast'!E5</x:f>
        <x:v>FY2029E</x:v>
      </x:c>
      <x:c r="F10" s="257" t="str">
        <x:f>'Operating Forecast'!F5</x:f>
        <x:v>FY2030E</x:v>
      </x:c>
      <x:c r="G10" s="257" t="str">
        <x:f>'Operating Forecast'!G5</x:f>
        <x:v>FY2031E</x:v>
      </x:c>
      <x:c r="H10" s="111"/>
      <x:c r="I10" s="88"/>
      <x:c r="J10" s="88"/>
    </x:row>
    <x:row r="11" ht="19" hidden="0" customHeight="1">
      <x:c r="A11" s="88"/>
      <x:c r="B11" s="111" t="str">
        <x:v>Projected operating cash flow</x:v>
      </x:c>
      <x:c r="C11" s="192" t="n">
        <x:f>'Operating Forecast'!C55</x:f>
        <x:v>6272.797367106384</x:v>
      </x:c>
      <x:c r="D11" s="192" t="n">
        <x:f>'Operating Forecast'!D55</x:f>
        <x:v>14085.353261790602</x:v>
      </x:c>
      <x:c r="E11" s="192" t="n">
        <x:f>'Operating Forecast'!E55</x:f>
        <x:v>15296.178805699274</x:v>
      </x:c>
      <x:c r="F11" s="192" t="n">
        <x:f>'Operating Forecast'!F55</x:f>
        <x:v>16635.890851808017</x:v>
      </x:c>
      <x:c r="G11" s="192" t="n">
        <x:f>'Operating Forecast'!G55</x:f>
        <x:v>17340.903285856035</x:v>
      </x:c>
      <x:c r="H11" s="88"/>
      <x:c r="I11" s="88"/>
      <x:c r="J11" s="88"/>
    </x:row>
    <x:row r="12" ht="19" hidden="0" customHeight="1">
      <x:c r="A12" s="88"/>
      <x:c r="B12" s="88" t="str">
        <x:v>Less capex</x:v>
      </x:c>
      <x:c r="C12" s="195" t="n">
        <x:f aca="0">-'Operating Forecast'!C35</x:f>
        <x:v>-328.70000000000005</x:v>
      </x:c>
      <x:c r="D12" s="195" t="n">
        <x:f aca="0">-'Operating Forecast'!D35</x:f>
        <x:v>-842.5716800000001</x:v>
      </x:c>
      <x:c r="E12" s="195" t="n">
        <x:f aca="0">-'Operating Forecast'!E35</x:f>
        <x:v>-907.0710944000001</x:v>
      </x:c>
      <x:c r="F12" s="195" t="n">
        <x:f aca="0">-'Operating Forecast'!F35</x:f>
        <x:v>-976.7304619520002</x:v>
      </x:c>
      <x:c r="G12" s="195" t="n">
        <x:f aca="0">-'Operating Forecast'!G35</x:f>
        <x:v>-1051.9625789081604</x:v>
      </x:c>
      <x:c r="H12" s="88"/>
      <x:c r="I12" s="88"/>
      <x:c r="J12" s="88"/>
    </x:row>
    <x:row r="13" ht="19" hidden="0" customHeight="1">
      <x:c r="A13" s="88"/>
      <x:c r="B13" s="88" t="str">
        <x:v>Company-style free cash flow</x:v>
      </x:c>
      <x:c r="C13" s="142" t="n">
        <x:f aca="0">C11+C12</x:f>
        <x:v>5944.097367106384</x:v>
      </x:c>
      <x:c r="D13" s="142" t="n">
        <x:f aca="0">D11+D12</x:f>
        <x:v>13242.781581790601</x:v>
      </x:c>
      <x:c r="E13" s="142" t="n">
        <x:f aca="0">E11+E12</x:f>
        <x:v>14389.107711299273</x:v>
      </x:c>
      <x:c r="F13" s="142" t="n">
        <x:f aca="0">F11+F12</x:f>
        <x:v>15659.160389856017</x:v>
      </x:c>
      <x:c r="G13" s="142" t="n">
        <x:f aca="0">G11+G12</x:f>
        <x:v>16288.940706947875</x:v>
      </x:c>
      <x:c r="H13" s="88"/>
      <x:c r="I13" s="88"/>
      <x:c r="J13" s="88"/>
    </x:row>
    <x:row r="14" ht="19" hidden="0" customHeight="1">
      <x:c r="A14" s="88"/>
      <x:c r="B14" s="111" t="str">
        <x:v>Less SBC</x:v>
      </x:c>
      <x:c r="C14" s="192" t="n">
        <x:f aca="0">-'Operating Forecast'!C21</x:f>
        <x:v>-2003.6200000000001</x:v>
      </x:c>
      <x:c r="D14" s="192" t="n">
        <x:f aca="0">-'Operating Forecast'!D21</x:f>
        <x:v>-4212.8584</x:v>
      </x:c>
      <x:c r="E14" s="192" t="n">
        <x:f aca="0">-'Operating Forecast'!E21</x:f>
        <x:v>-4535.355472</x:v>
      </x:c>
      <x:c r="F14" s="192" t="n">
        <x:f aca="0">-'Operating Forecast'!F21</x:f>
        <x:v>-4883.652309760001</x:v>
      </x:c>
      <x:c r="G14" s="192" t="n">
        <x:f aca="0">-'Operating Forecast'!G21</x:f>
        <x:v>-5259.812894540802</x:v>
      </x:c>
      <x:c r="H14" s="88"/>
      <x:c r="I14" s="88"/>
      <x:c r="J14" s="88"/>
    </x:row>
    <x:row r="15" ht="19" hidden="0" customHeight="1">
      <x:c r="A15" s="88"/>
      <x:c r="B15" s="88" t="str">
        <x:v>Remove net interest after tax</x:v>
      </x:c>
      <x:c r="C15" s="195" t="n">
        <x:f aca="0">-'Operating Forecast'!C22+MAX(0,'Operating Forecast'!C23)*'Assumptions'!$F$14-MAX(0,'Operating Forecast'!C15)*'Assumptions'!$F$14</x:f>
        <x:v>710.5582191780825</x:v>
      </x:c>
      <x:c r="D15" s="195" t="n">
        <x:f aca="0">-'Operating Forecast'!D22+MAX(0,'Operating Forecast'!D23)*'Assumptions'!$F$14-MAX(0,'Operating Forecast'!D15)*'Assumptions'!$F$14</x:f>
        <x:v>1419.415538488749</x:v>
      </x:c>
      <x:c r="E15" s="195" t="n">
        <x:f aca="0">-'Operating Forecast'!E22+MAX(0,'Operating Forecast'!E23)*'Assumptions'!$F$14-MAX(0,'Operating Forecast'!E15)*'Assumptions'!$F$14</x:f>
        <x:v>1410.2688833574935</x:v>
      </x:c>
      <x:c r="F15" s="195" t="n">
        <x:f aca="0">-'Operating Forecast'!F22+MAX(0,'Operating Forecast'!F23)*'Assumptions'!$F$14-MAX(0,'Operating Forecast'!F15)*'Assumptions'!$F$14</x:f>
        <x:v>1368.7492514682194</x:v>
      </x:c>
      <x:c r="G15" s="195" t="n">
        <x:f aca="0">-'Operating Forecast'!G22+MAX(0,'Operating Forecast'!G23)*'Assumptions'!$F$14-MAX(0,'Operating Forecast'!G15)*'Assumptions'!$F$14</x:f>
        <x:v>1301.952515098245</x:v>
      </x:c>
      <x:c r="H15" s="88"/>
      <x:c r="I15" s="88"/>
      <x:c r="J15" s="88"/>
    </x:row>
    <x:row r="16" ht="19" hidden="0" customHeight="1">
      <x:c r="A16" s="88"/>
      <x:c r="B16" s="111" t="str">
        <x:v>Economic unlevered cash flow</x:v>
      </x:c>
      <x:c r="C16" s="145" t="n">
        <x:f aca="0">SUM(C13:C15)</x:f>
        <x:v>4651.035586284466</x:v>
      </x:c>
      <x:c r="D16" s="145" t="n">
        <x:f aca="0">SUM(D13:D15)</x:f>
        <x:v>10449.33872027935</x:v>
      </x:c>
      <x:c r="E16" s="145" t="n">
        <x:f aca="0">SUM(E13:E15)</x:f>
        <x:v>11264.021122656766</x:v>
      </x:c>
      <x:c r="F16" s="145" t="n">
        <x:f aca="0">SUM(F13:F15)</x:f>
        <x:v>12144.257331564237</x:v>
      </x:c>
      <x:c r="G16" s="145" t="n">
        <x:f aca="0">SUM(G13:G15)</x:f>
        <x:v>12331.080327505319</x:v>
      </x:c>
      <x:c r="H16" s="88"/>
      <x:c r="I16" s="88"/>
      <x:c r="J16" s="88"/>
    </x:row>
    <x:row r="17" ht="19" hidden="0" customHeight="1">
      <x:c r="A17" s="88"/>
      <x:c r="B17" s="88" t="str">
        <x:v>DCF source unlevered cash flow</x:v>
      </x:c>
      <x:c r="C17" s="195" t="n">
        <x:f aca="0">'Operating Forecast'!C90</x:f>
        <x:v>4651.035586284467</x:v>
      </x:c>
      <x:c r="D17" s="195" t="n">
        <x:f aca="0">'Operating Forecast'!D90</x:f>
        <x:v>10449.33872027935</x:v>
      </x:c>
      <x:c r="E17" s="195" t="n">
        <x:f aca="0">'Operating Forecast'!E90</x:f>
        <x:v>11264.021122656768</x:v>
      </x:c>
      <x:c r="F17" s="195" t="n">
        <x:f aca="0">'Operating Forecast'!F90</x:f>
        <x:v>12144.257331564235</x:v>
      </x:c>
      <x:c r="G17" s="195" t="n">
        <x:f aca="0">'Operating Forecast'!G90</x:f>
        <x:v>12331.080327505317</x:v>
      </x:c>
      <x:c r="H17" s="88"/>
      <x:c r="I17" s="88"/>
      <x:c r="J17" s="88"/>
    </x:row>
    <x:row r="18" ht="19" hidden="0" customHeight="1">
      <x:c r="A18" s="88"/>
      <x:c r="B18" s="88" t="str">
        <x:v>Reconciliation difference</x:v>
      </x:c>
      <x:c r="C18" s="98" t="n">
        <x:f>C16-C17</x:f>
        <x:v>-9.094947017729282e-13</x:v>
      </x:c>
      <x:c r="D18" s="98" t="n">
        <x:f>D16-D17</x:f>
        <x:v>0</x:v>
      </x:c>
      <x:c r="E18" s="98" t="n">
        <x:f>E16-E17</x:f>
        <x:v>-1.8189894035458565e-12</x:v>
      </x:c>
      <x:c r="F18" s="98" t="n">
        <x:f>F16-F17</x:f>
        <x:v>1.8189894035458565e-12</x:v>
      </x:c>
      <x:c r="G18" s="98" t="n">
        <x:f>G16-G17</x:f>
        <x:v>1.8189894035458565e-12</x:v>
      </x:c>
      <x:c r="H18" s="88"/>
      <x:c r="I18" s="88"/>
      <x:c r="J18" s="88"/>
    </x:row>
    <x:row r="19" ht="19" hidden="0" customHeight="1">
      <x:c r="A19" s="88"/>
      <x:c r="B19" s="273"/>
      <x:c r="C19" s="273"/>
      <x:c r="D19" s="273"/>
      <x:c r="E19" s="273"/>
      <x:c r="F19" s="273"/>
      <x:c r="G19" s="273"/>
      <x:c r="H19" s="88"/>
      <x:c r="I19" s="88"/>
      <x:c r="J19" s="88"/>
    </x:row>
    <x:row r="20" ht="19" hidden="0" customHeight="1">
      <x:c r="A20" s="88"/>
      <x:c r="B20" s="273"/>
      <x:c r="C20" s="273"/>
      <x:c r="D20" s="273"/>
      <x:c r="E20" s="273"/>
      <x:c r="F20" s="273"/>
      <x:c r="G20" s="273"/>
      <x:c r="H20" s="88"/>
      <x:c r="I20" s="88"/>
      <x:c r="J20" s="88"/>
    </x:row>
    <x:row r="21" ht="19" hidden="0" customHeight="1">
      <x:c r="A21" s="88"/>
      <x:c r="B21" s="273"/>
      <x:c r="C21" s="273"/>
      <x:c r="D21" s="273"/>
      <x:c r="E21" s="273"/>
      <x:c r="F21" s="273"/>
      <x:c r="G21" s="273"/>
      <x:c r="H21" s="88"/>
      <x:c r="I21" s="88"/>
      <x:c r="J21" s="88"/>
    </x:row>
    <x:row r="22" ht="19" hidden="0" customHeight="1">
      <x:c r="A22" s="88"/>
      <x:c r="B22" s="273" t="str">
        <x:v>Operating cash flow adds SBC back because issuance is noncash. That does not make it free to owners. The economic DCF keeps SBC expensed; the reconciliation also removes net financing income/expense and its actual modeled tax effect. The gap is not always equal to SBC alone.</x:v>
      </x:c>
      <x:c r="C22" s="273"/>
      <x:c r="D22" s="273"/>
      <x:c r="E22" s="273"/>
      <x:c r="F22" s="273"/>
      <x:c r="G22" s="273"/>
      <x:c r="H22" s="107"/>
      <x:c r="I22" s="107"/>
      <x:c r="J22" s="107"/>
    </x:row>
    <x:row r="23" ht="19" hidden="0" customHeight="1">
      <x:c r="A23" s="88"/>
      <x:c r="B23" s="107"/>
      <x:c r="C23" s="107"/>
      <x:c r="D23" s="107"/>
      <x:c r="E23" s="107"/>
      <x:c r="F23" s="107"/>
      <x:c r="G23" s="107"/>
      <x:c r="H23" s="107"/>
      <x:c r="I23" s="107"/>
      <x:c r="J23" s="107"/>
    </x:row>
    <x:row r="24" ht="19" hidden="0" customHeight="1">
      <x:c r="A24" s="88"/>
      <x:c r="B24" s="107"/>
      <x:c r="C24" s="107"/>
      <x:c r="D24" s="107"/>
      <x:c r="E24" s="107"/>
      <x:c r="F24" s="107"/>
      <x:c r="G24" s="107"/>
      <x:c r="H24" s="107"/>
      <x:c r="I24" s="107"/>
      <x:c r="J24" s="107"/>
    </x:row>
    <x:row r="25" ht="19" hidden="0" customHeight="1">
      <x:c r="A25" s="88"/>
      <x:c r="B25" s="107"/>
      <x:c r="C25" s="107"/>
      <x:c r="D25" s="107"/>
      <x:c r="E25" s="107"/>
      <x:c r="F25" s="107"/>
      <x:c r="G25" s="107"/>
      <x:c r="H25" s="107"/>
      <x:c r="I25" s="107"/>
      <x:c r="J25" s="107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</x:row>
    <x:row r="28" ht="19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</x:row>
    <x:row r="29" ht="19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mergeCells>
    <x:mergeCell ref="A1:J1"/>
    <x:mergeCell ref="A2:J3"/>
    <x:mergeCell ref="B22:J2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COMPARABLES | SELECTED MULTIPLES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Peer reference assumptions. Selected valuation multiples are set on the Assumptions tab.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2"/>
      <x:c r="L4" s="2"/>
    </x:row>
    <x:row r="5" ht="19" hidden="0" customHeight="1">
      <x:c r="A5" s="88"/>
      <x:c r="B5" s="124" t="str">
        <x:v>Company</x:v>
      </x:c>
      <x:c r="C5" s="124" t="str">
        <x:v>Ticker</x:v>
      </x:c>
      <x:c r="D5" s="114" t="str">
        <x:v>EV / EBITDA</x:v>
      </x:c>
      <x:c r="E5" s="114" t="str">
        <x:v>EV / sales</x:v>
      </x:c>
      <x:c r="F5" s="114" t="str">
        <x:v>Forward P/E</x:v>
      </x:c>
      <x:c r="G5" s="88"/>
      <x:c r="H5" s="88"/>
      <x:c r="I5" s="88"/>
      <x:c r="J5" s="88"/>
      <x:c r="K5" s="2"/>
      <x:c r="L5" s="2"/>
    </x:row>
    <x:row r="6" ht="19" hidden="0" customHeight="1">
      <x:c r="A6" s="88"/>
      <x:c r="B6" s="88" t="str">
        <x:v>Oracle</x:v>
      </x:c>
      <x:c r="C6" s="88" t="str">
        <x:v>ORCL</x:v>
      </x:c>
      <x:c r="D6" s="154" t="n">
        <x:v>19.44</x:v>
      </x:c>
      <x:c r="E6" s="154" t="n">
        <x:v>8.8</x:v>
      </x:c>
      <x:c r="F6" s="154" t="n">
        <x:v>19.69</x:v>
      </x:c>
      <x:c r="G6" s="88"/>
      <x:c r="H6" s="88"/>
      <x:c r="I6" s="88"/>
      <x:c r="J6" s="88"/>
      <x:c r="K6" s="2"/>
      <x:c r="L6" s="2"/>
    </x:row>
    <x:row r="7" ht="19" hidden="0" customHeight="1">
      <x:c r="A7" s="88"/>
      <x:c r="B7" s="88" t="str">
        <x:v>SAP SE</x:v>
      </x:c>
      <x:c r="C7" s="88" t="str">
        <x:v>SAP</x:v>
      </x:c>
      <x:c r="D7" s="154" t="n">
        <x:v>18.16</x:v>
      </x:c>
      <x:c r="E7" s="154" t="n">
        <x:v>5.59</x:v>
      </x:c>
      <x:c r="F7" s="154" t="n">
        <x:v>23.69</x:v>
      </x:c>
      <x:c r="G7" s="88"/>
      <x:c r="H7" s="88"/>
      <x:c r="I7" s="88"/>
      <x:c r="J7" s="88"/>
      <x:c r="K7" s="2"/>
      <x:c r="L7" s="2"/>
    </x:row>
    <x:row r="8" ht="19" hidden="0" customHeight="1">
      <x:c r="A8" s="88"/>
      <x:c r="B8" s="88" t="str">
        <x:v>Adobe</x:v>
      </x:c>
      <x:c r="C8" s="88" t="str">
        <x:v>ADBE</x:v>
      </x:c>
      <x:c r="D8" s="154" t="n">
        <x:v>11.04</x:v>
      </x:c>
      <x:c r="E8" s="154" t="n">
        <x:v>4.26</x:v>
      </x:c>
      <x:c r="F8" s="154" t="n">
        <x:v>10.27</x:v>
      </x:c>
      <x:c r="G8" s="88"/>
      <x:c r="H8" s="88"/>
      <x:c r="I8" s="88"/>
      <x:c r="J8" s="88"/>
      <x:c r="K8" s="2"/>
      <x:c r="L8" s="2"/>
    </x:row>
    <x:row r="9" ht="19" hidden="0" customHeight="1">
      <x:c r="A9" s="88"/>
      <x:c r="B9" s="88" t="str">
        <x:v>ServiceNow</x:v>
      </x:c>
      <x:c r="C9" s="88" t="str">
        <x:v>NOW</x:v>
      </x:c>
      <x:c r="D9" s="154" t="n">
        <x:v>51.01</x:v>
      </x:c>
      <x:c r="E9" s="154" t="n">
        <x:v>10.03</x:v>
      </x:c>
      <x:c r="F9" s="154" t="n">
        <x:v>31.18</x:v>
      </x:c>
      <x:c r="G9" s="88"/>
      <x:c r="H9" s="88"/>
      <x:c r="I9" s="88"/>
      <x:c r="J9" s="88"/>
      <x:c r="K9" s="2"/>
      <x:c r="L9" s="2"/>
    </x:row>
    <x:row r="10" ht="19" hidden="0" customHeight="1">
      <x:c r="A10" s="88"/>
      <x:c r="B10" s="88" t="str">
        <x:v>Workday</x:v>
      </x:c>
      <x:c r="C10" s="88" t="str">
        <x:v>WDAY</x:v>
      </x:c>
      <x:c r="D10" s="154" t="n">
        <x:v>29.98</x:v>
      </x:c>
      <x:c r="E10" s="154" t="n">
        <x:v>4.68</x:v>
      </x:c>
      <x:c r="F10" s="154" t="n">
        <x:v>16.26</x:v>
      </x:c>
      <x:c r="G10" s="88"/>
      <x:c r="H10" s="88"/>
      <x:c r="I10" s="88"/>
      <x:c r="J10" s="88"/>
      <x:c r="K10" s="2"/>
      <x:c r="L10" s="2"/>
    </x:row>
    <x:row r="11" ht="19" hidden="0" customHeight="1">
      <x:c r="A11" s="88"/>
      <x:c r="B11" s="88" t="str">
        <x:v>Intuit</x:v>
      </x:c>
      <x:c r="C11" s="88" t="str">
        <x:v>INTU</x:v>
      </x:c>
      <x:c r="D11" s="154" t="n">
        <x:v>13.45</x:v>
      </x:c>
      <x:c r="E11" s="154" t="n">
        <x:v>4.3</x:v>
      </x:c>
      <x:c r="F11" s="154" t="n">
        <x:v>13.76</x:v>
      </x:c>
      <x:c r="G11" s="88"/>
      <x:c r="H11" s="88"/>
      <x:c r="I11" s="88"/>
      <x:c r="J11" s="88"/>
      <x:c r="K11" s="2"/>
      <x:c r="L11" s="2"/>
    </x:row>
    <x:row r="12" ht="19" hidden="0" customHeight="1">
      <x:c r="A12" s="88"/>
      <x:c r="B12" s="88" t="str">
        <x:v>HubSpot</x:v>
      </x:c>
      <x:c r="C12" s="88" t="str">
        <x:v>HUBS</x:v>
      </x:c>
      <x:c r="D12" s="154" t="n">
        <x:v>71.78</x:v>
      </x:c>
      <x:c r="E12" s="154" t="n">
        <x:v>3.26</x:v>
      </x:c>
      <x:c r="F12" s="154" t="n">
        <x:v>16.52</x:v>
      </x:c>
      <x:c r="G12" s="88"/>
      <x:c r="H12" s="88"/>
      <x:c r="I12" s="88"/>
      <x:c r="J12" s="88"/>
      <x:c r="K12" s="2"/>
      <x:c r="L12" s="2"/>
    </x:row>
    <x:row r="13" ht="19" hidden="0" customHeight="1">
      <x:c r="A13" s="88"/>
      <x:c r="B13" s="111"/>
      <x:c r="C13" s="88"/>
      <x:c r="D13" s="237"/>
      <x:c r="E13" s="237"/>
      <x:c r="F13" s="237"/>
      <x:c r="G13" s="88"/>
      <x:c r="H13" s="88"/>
      <x:c r="I13" s="88"/>
      <x:c r="J13" s="88"/>
      <x:c r="K13" s="2"/>
      <x:c r="L13" s="2"/>
    </x:row>
    <x:row r="14" ht="19" hidden="0" customHeight="1">
      <x:c r="A14" s="88"/>
      <x:c r="B14" s="241" t="str">
        <x:v>Peer reference assumptions as of September 4, 2026; source reference: https://stockanalysis.com. The valuation uses the selected multiples below. Enterprise value and EBITDA should use consistent lease treatment.</x:v>
      </x:c>
      <x:c r="C14" s="107"/>
      <x:c r="D14" s="242"/>
      <x:c r="E14" s="242"/>
      <x:c r="F14" s="242"/>
      <x:c r="G14" s="107"/>
      <x:c r="H14" s="107"/>
      <x:c r="I14" s="107"/>
      <x:c r="J14" s="107"/>
      <x:c r="K14" s="2"/>
      <x:c r="L14" s="2"/>
    </x:row>
    <x:row r="15" ht="19" hidden="0" customHeight="1">
      <x:c r="A15" s="88"/>
      <x:c r="B15" s="241"/>
      <x:c r="C15" s="107"/>
      <x:c r="D15" s="242"/>
      <x:c r="E15" s="242"/>
      <x:c r="F15" s="242"/>
      <x:c r="G15" s="107"/>
      <x:c r="H15" s="107"/>
      <x:c r="I15" s="107"/>
      <x:c r="J15" s="107"/>
      <x:c r="K15" s="2"/>
      <x:c r="L15" s="2"/>
    </x:row>
    <x:row r="16" ht="19" hidden="0" customHeight="1">
      <x:c r="A16" s="88"/>
      <x:c r="B16" s="241"/>
      <x:c r="C16" s="107"/>
      <x:c r="D16" s="243"/>
      <x:c r="E16" s="243"/>
      <x:c r="F16" s="243"/>
      <x:c r="G16" s="107"/>
      <x:c r="H16" s="107"/>
      <x:c r="I16" s="107"/>
      <x:c r="J16" s="107"/>
      <x:c r="K16" s="2"/>
      <x:c r="L16" s="2"/>
    </x:row>
    <x:row r="17" ht="19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  <x:c r="K17" s="2"/>
      <x:c r="L17" s="2"/>
    </x:row>
    <x:row r="18" ht="24" hidden="0" customHeight="1">
      <x:c r="A18" s="111"/>
      <x:c r="B18" s="105" t="str">
        <x:v>Illustrative valuation — funded-debt EV, after-rent economics</x:v>
      </x:c>
      <x:c r="C18" s="105"/>
      <x:c r="D18" s="105"/>
      <x:c r="E18" s="105"/>
      <x:c r="F18" s="105"/>
      <x:c r="G18" s="105"/>
      <x:c r="H18" s="105"/>
      <x:c r="I18" s="105"/>
      <x:c r="J18" s="105"/>
      <x:c r="K18" s="2"/>
      <x:c r="L18" s="2"/>
    </x:row>
    <x:row r="19" ht="19" hidden="0" customHeight="1">
      <x:c r="A19" s="88"/>
      <x:c r="B19" s="88"/>
      <x:c r="C19" s="131" t="str">
        <x:v>Low</x:v>
      </x:c>
      <x:c r="D19" s="88" t="str">
        <x:v>High</x:v>
      </x:c>
      <x:c r="E19" s="88"/>
      <x:c r="F19" s="88"/>
      <x:c r="G19" s="88"/>
      <x:c r="H19" s="88"/>
      <x:c r="I19" s="88"/>
      <x:c r="J19" s="88"/>
      <x:c r="K19" s="2"/>
      <x:c r="L19" s="2"/>
    </x:row>
    <x:row r="20" ht="19" hidden="0" customHeight="1">
      <x:c r="A20" s="88"/>
      <x:c r="B20" s="88" t="str">
        <x:v>Selected EV / EBITDA assumption</x:v>
      </x:c>
      <x:c r="C20" s="232" t="n">
        <x:f>'Assumptions'!$C$35</x:f>
        <x:v>16</x:v>
      </x:c>
      <x:c r="D20" s="246" t="n">
        <x:f>'Assumptions'!$C$36</x:f>
        <x:v>20</x:v>
      </x:c>
      <x:c r="E20" s="88"/>
      <x:c r="F20" s="88"/>
      <x:c r="G20" s="88"/>
      <x:c r="H20" s="88"/>
      <x:c r="I20" s="88"/>
      <x:c r="J20" s="88"/>
      <x:c r="K20" s="2"/>
      <x:c r="L20" s="2"/>
    </x:row>
    <x:row r="21" ht="19" hidden="0" customHeight="1">
      <x:c r="A21" s="88"/>
      <x:c r="B21" s="88" t="str">
        <x:v>Forward normalized annual EBITDA</x:v>
      </x:c>
      <x:c r="C21" s="195" t="n">
        <x:f>'Operating Forecast'!C92</x:f>
        <x:v>11482.300000000001</x:v>
      </x:c>
      <x:c r="D21" s="106" t="n">
        <x:f>'Operating Forecast'!C92</x:f>
        <x:v>11482.300000000001</x:v>
      </x:c>
      <x:c r="E21" s="88"/>
      <x:c r="F21" s="88"/>
      <x:c r="G21" s="88"/>
      <x:c r="H21" s="88"/>
      <x:c r="I21" s="88"/>
      <x:c r="J21" s="88"/>
      <x:c r="K21" s="2"/>
      <x:c r="L21" s="2"/>
    </x:row>
    <x:row r="22" ht="19" hidden="0" customHeight="1">
      <x:c r="A22" s="88"/>
      <x:c r="B22" s="88" t="str">
        <x:v>Enterprise value</x:v>
      </x:c>
      <x:c r="C22" s="142" t="n">
        <x:f aca="0">C20*C21</x:f>
        <x:v>183716.80000000002</x:v>
      </x:c>
      <x:c r="D22" s="98" t="n">
        <x:f>D20*D21</x:f>
        <x:v>229646.00000000003</x:v>
      </x:c>
      <x:c r="E22" s="88"/>
      <x:c r="F22" s="88"/>
      <x:c r="G22" s="88"/>
      <x:c r="H22" s="88"/>
      <x:c r="I22" s="88"/>
      <x:c r="J22" s="88"/>
      <x:c r="K22" s="2"/>
      <x:c r="L22" s="2"/>
    </x:row>
    <x:row r="23" ht="19" hidden="0" customHeight="1">
      <x:c r="A23" s="88"/>
      <x:c r="B23" s="88" t="str">
        <x:v>Add excess cash</x:v>
      </x:c>
      <x:c r="C23" s="195" t="n">
        <x:f>'Verified Inputs'!$C$60</x:f>
        <x:v>8403</x:v>
      </x:c>
      <x:c r="D23" s="106" t="n">
        <x:f>'Verified Inputs'!$C$60</x:f>
        <x:v>8403</x:v>
      </x:c>
      <x:c r="E23" s="88"/>
      <x:c r="F23" s="88"/>
      <x:c r="G23" s="88"/>
      <x:c r="H23" s="88"/>
      <x:c r="I23" s="88"/>
      <x:c r="J23" s="88"/>
      <x:c r="K23" s="2"/>
      <x:c r="L23" s="2"/>
    </x:row>
    <x:row r="24" ht="19" hidden="0" customHeight="1">
      <x:c r="A24" s="88"/>
      <x:c r="B24" s="88" t="str">
        <x:v>Less funded debt</x:v>
      </x:c>
      <x:c r="C24" s="106" t="n">
        <x:f>-'Verified Inputs'!$C$61</x:f>
        <x:v>-39288</x:v>
      </x:c>
      <x:c r="D24" s="106" t="n">
        <x:f>-'Verified Inputs'!$C$61</x:f>
        <x:v>-39288</x:v>
      </x:c>
      <x:c r="E24" s="88"/>
      <x:c r="F24" s="88"/>
      <x:c r="G24" s="88"/>
      <x:c r="H24" s="88"/>
      <x:c r="I24" s="88"/>
      <x:c r="J24" s="88"/>
      <x:c r="K24" s="2"/>
      <x:c r="L24" s="2"/>
    </x:row>
    <x:row r="25" ht="19" hidden="0" customHeight="1">
      <x:c r="A25" s="88"/>
      <x:c r="B25" s="88" t="str">
        <x:v>Add separately valued investments</x:v>
      </x:c>
      <x:c r="C25" s="192" t="n">
        <x:f>'Verified Inputs'!$C$15</x:f>
        <x:v>0</x:v>
      </x:c>
      <x:c r="D25" s="192" t="n">
        <x:f>'Verified Inputs'!$C$15</x:f>
        <x:v>0</x:v>
      </x:c>
      <x:c r="E25" s="88"/>
      <x:c r="F25" s="88"/>
      <x:c r="G25" s="88"/>
      <x:c r="H25" s="88"/>
      <x:c r="I25" s="88"/>
      <x:c r="J25" s="88"/>
      <x:c r="K25" s="2"/>
      <x:c r="L25" s="2"/>
    </x:row>
    <x:row r="26" ht="19" hidden="0" customHeight="1">
      <x:c r="A26" s="88"/>
      <x:c r="B26" s="111" t="str">
        <x:v>Equity value</x:v>
      </x:c>
      <x:c r="C26" s="145" t="n">
        <x:f aca="0">SUM(C22:C25)</x:f>
        <x:v>152831.80000000002</x:v>
      </x:c>
      <x:c r="D26" s="145" t="n">
        <x:f aca="0">SUM(D22:D25)</x:f>
        <x:v>198761.00000000003</x:v>
      </x:c>
      <x:c r="E26" s="88"/>
      <x:c r="F26" s="88"/>
      <x:c r="G26" s="88"/>
      <x:c r="H26" s="88"/>
      <x:c r="I26" s="88"/>
      <x:c r="J26" s="88"/>
      <x:c r="K26" s="2"/>
      <x:c r="L26" s="2"/>
    </x:row>
    <x:row r="27" ht="19" hidden="0" customHeight="1">
      <x:c r="A27" s="88"/>
      <x:c r="B27" s="88" t="str">
        <x:v>Value per diluted share</x:v>
      </x:c>
      <x:c r="C27" s="245" t="n">
        <x:f aca="0">IF('Verified Inputs'!$C$8&gt;0,C26/'Verified Inputs'!$C$8,0)</x:f>
        <x:v>186.153227771011</x:v>
      </x:c>
      <x:c r="D27" s="245" t="n">
        <x:f aca="0">IF('Verified Inputs'!$C$8&gt;0,D26/'Verified Inputs'!$C$8,0)</x:f>
        <x:v>242.0962241169306</x:v>
      </x:c>
      <x:c r="E27" s="88"/>
      <x:c r="F27" s="88"/>
      <x:c r="G27" s="88"/>
      <x:c r="H27" s="88"/>
      <x:c r="I27" s="88"/>
      <x:c r="J27" s="88"/>
      <x:c r="K27" s="2"/>
      <x:c r="L27" s="2"/>
    </x:row>
    <x:row r="28" ht="19" hidden="0" customHeight="1">
      <x:c r="A28" s="88"/>
      <x:c r="B28" s="111"/>
      <x:c r="C28" s="119"/>
      <x:c r="D28" s="119"/>
      <x:c r="E28" s="88"/>
      <x:c r="F28" s="88"/>
      <x:c r="G28" s="88"/>
      <x:c r="H28" s="88"/>
      <x:c r="I28" s="88"/>
      <x:c r="J28" s="88"/>
      <x:c r="K28" s="2"/>
      <x:c r="L28" s="2"/>
    </x:row>
    <x:row r="29" ht="19" hidden="0" customHeight="1">
      <x:c r="A29" s="88"/>
      <x:c r="B29" s="111"/>
      <x:c r="C29" s="176"/>
      <x:c r="D29" s="176"/>
      <x:c r="E29" s="88"/>
      <x:c r="F29" s="88"/>
      <x:c r="G29" s="88"/>
      <x:c r="H29" s="88"/>
      <x:c r="I29" s="88"/>
      <x:c r="J29" s="88"/>
      <x:c r="K29" s="2"/>
      <x:c r="L29" s="2"/>
    </x:row>
    <x:row r="30" ht="19" hidden="0" customHeight="1">
      <x:c r="A30" s="88"/>
      <x:c r="B30" s="88" t="str">
        <x:v>Selected EV / sales assumption</x:v>
      </x:c>
      <x:c r="C30" s="246" t="n">
        <x:f>'Assumptions'!$C$37</x:f>
        <x:v>4</x:v>
      </x:c>
      <x:c r="D30" s="246" t="n">
        <x:f>'Assumptions'!$C$38</x:f>
        <x:v>6</x:v>
      </x:c>
      <x:c r="E30" s="88"/>
      <x:c r="F30" s="88"/>
      <x:c r="G30" s="88"/>
      <x:c r="H30" s="88"/>
      <x:c r="I30" s="88"/>
      <x:c r="J30" s="88"/>
      <x:c r="K30" s="2"/>
      <x:c r="L30" s="2"/>
    </x:row>
    <x:row r="31" ht="19" hidden="0" customHeight="1">
      <x:c r="A31" s="88"/>
      <x:c r="B31" s="125" t="str">
        <x:v>LTM revenue</x:v>
      </x:c>
      <x:c r="C31" s="106" t="n">
        <x:f>'Verified Inputs'!$C$64</x:f>
        <x:v>43938</x:v>
      </x:c>
      <x:c r="D31" s="106" t="n">
        <x:f>'Verified Inputs'!$C$64</x:f>
        <x:v>43938</x:v>
      </x:c>
      <x:c r="E31" s="88"/>
      <x:c r="F31" s="88"/>
      <x:c r="G31" s="88"/>
      <x:c r="H31" s="88"/>
      <x:c r="I31" s="88"/>
      <x:c r="J31" s="88"/>
      <x:c r="K31" s="2"/>
      <x:c r="L31" s="2"/>
    </x:row>
    <x:row r="32" ht="19" hidden="0" customHeight="1">
      <x:c r="A32" s="88"/>
      <x:c r="B32" s="88" t="str">
        <x:v>Enterprise value</x:v>
      </x:c>
      <x:c r="C32" s="98" t="n">
        <x:f>C30*C31</x:f>
        <x:v>175752</x:v>
      </x:c>
      <x:c r="D32" s="98" t="n">
        <x:f>D30*D31</x:f>
        <x:v>263628</x:v>
      </x:c>
      <x:c r="E32" s="88"/>
      <x:c r="F32" s="88"/>
      <x:c r="G32" s="88"/>
      <x:c r="H32" s="88"/>
      <x:c r="I32" s="88"/>
      <x:c r="J32" s="88"/>
      <x:c r="K32" s="2"/>
      <x:c r="L32" s="2"/>
    </x:row>
    <x:row r="33" ht="19" hidden="0" customHeight="1">
      <x:c r="A33" s="88"/>
      <x:c r="B33" s="88" t="str">
        <x:v>Equity value</x:v>
      </x:c>
      <x:c r="C33" s="106" t="n">
        <x:f>C32+'Verified Inputs'!$C$60-'Verified Inputs'!$C$61+'Verified Inputs'!$C$15</x:f>
        <x:v>144867</x:v>
      </x:c>
      <x:c r="D33" s="106" t="n">
        <x:f>D32+'Verified Inputs'!$C$60-'Verified Inputs'!$C$61+'Verified Inputs'!$C$15</x:f>
        <x:v>232743</x:v>
      </x:c>
      <x:c r="E33" s="88"/>
      <x:c r="F33" s="88"/>
      <x:c r="G33" s="88"/>
      <x:c r="H33" s="88"/>
      <x:c r="I33" s="88"/>
      <x:c r="J33" s="88"/>
      <x:c r="K33" s="2"/>
      <x:c r="L33" s="2"/>
    </x:row>
    <x:row r="34" ht="19" hidden="0" customHeight="1">
      <x:c r="A34" s="88"/>
      <x:c r="B34" s="88" t="str">
        <x:v>Value per diluted share</x:v>
      </x:c>
      <x:c r="C34" s="233" t="n">
        <x:f>IF('Verified Inputs'!$C$8&gt;0,C33/'Verified Inputs'!$C$8,0)</x:f>
        <x:v>176.45188794153472</x:v>
      </x:c>
      <x:c r="D34" s="233" t="n">
        <x:f>IF('Verified Inputs'!$C$8&gt;0,D33/'Verified Inputs'!$C$8,0)</x:f>
        <x:v>283.4872107186358</x:v>
      </x:c>
      <x:c r="E34" s="88"/>
      <x:c r="F34" s="88"/>
      <x:c r="G34" s="88"/>
      <x:c r="H34" s="88"/>
      <x:c r="I34" s="88"/>
      <x:c r="J34" s="88"/>
      <x:c r="K34" s="2"/>
      <x:c r="L34" s="2"/>
    </x:row>
    <x:row r="35" ht="19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  <x:c r="K35" s="2"/>
      <x:c r="L35" s="2"/>
    </x:row>
    <x:row r="36" ht="19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  <x:c r="K36" s="2"/>
      <x:c r="L36" s="2"/>
    </x:row>
    <x:row r="37" ht="19" hidden="0" customHeight="1">
      <x:c r="A37" s="88"/>
      <x:c r="B37" s="88"/>
      <x:c r="C37" s="88"/>
      <x:c r="D37" s="88"/>
      <x:c r="E37" s="88"/>
      <x:c r="F37" s="88"/>
      <x:c r="G37" s="88"/>
      <x:c r="H37" s="88"/>
      <x:c r="I37" s="88"/>
      <x:c r="J37" s="88"/>
      <x:c r="K37" s="2"/>
      <x:c r="L37" s="2"/>
    </x:row>
    <x:row r="38" ht="19" hidden="0" customHeight="1">
      <x:c r="A38" s="88"/>
      <x:c r="B38" s="107" t="str">
        <x:v>Sales multiples require a view on growth, retention, margins and SBC. Oracle and SAP are scale references; ServiceNow and HubSpot have different growth and profit profiles. Do not let a high-growth peer justify a mature-company premium without evidence.</x:v>
      </x:c>
      <x:c r="C38" s="107"/>
      <x:c r="D38" s="107"/>
      <x:c r="E38" s="107"/>
      <x:c r="F38" s="107"/>
      <x:c r="G38" s="107"/>
      <x:c r="H38" s="107"/>
      <x:c r="I38" s="107"/>
      <x:c r="J38" s="107"/>
      <x:c r="K38" s="2"/>
      <x:c r="L38" s="2"/>
    </x:row>
    <x:row r="39" ht="19" hidden="0" customHeight="1">
      <x:c r="A39" s="88"/>
      <x:c r="B39" s="107"/>
      <x:c r="C39" s="107"/>
      <x:c r="D39" s="107"/>
      <x:c r="E39" s="107"/>
      <x:c r="F39" s="107"/>
      <x:c r="G39" s="107"/>
      <x:c r="H39" s="107"/>
      <x:c r="I39" s="107"/>
      <x:c r="J39" s="107"/>
      <x:c r="K39" s="2"/>
      <x:c r="L39" s="2"/>
    </x:row>
    <x:row r="40" ht="19" hidden="0" customHeight="1">
      <x:c r="A40" s="88"/>
      <x:c r="B40" s="107"/>
      <x:c r="C40" s="107"/>
      <x:c r="D40" s="107"/>
      <x:c r="E40" s="107"/>
      <x:c r="F40" s="107"/>
      <x:c r="G40" s="107"/>
      <x:c r="H40" s="107"/>
      <x:c r="I40" s="107"/>
      <x:c r="J40" s="107"/>
      <x:c r="K40" s="2"/>
      <x:c r="L40" s="2"/>
    </x:row>
    <x:row r="41" ht="19" hidden="0" customHeight="1">
      <x:c r="A41" s="88"/>
      <x:c r="B41" s="107"/>
      <x:c r="C41" s="107"/>
      <x:c r="D41" s="107"/>
      <x:c r="E41" s="107"/>
      <x:c r="F41" s="107"/>
      <x:c r="G41" s="107"/>
      <x:c r="H41" s="107"/>
      <x:c r="I41" s="107"/>
      <x:c r="J41" s="107"/>
      <x:c r="K41" s="2"/>
      <x:c r="L41" s="2"/>
    </x:row>
    <x:row r="42" ht="19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  <x:c r="K42" s="2"/>
      <x:c r="L42" s="2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  <x:c r="K43" s="2"/>
      <x:c r="L43" s="2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  <x:c r="K44" s="2"/>
      <x:c r="L44" s="2"/>
    </x:row>
    <x:row r="45" ht="19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  <x:c r="K45" s="2"/>
      <x:c r="L45" s="2"/>
    </x:row>
    <x:row r="46" ht="19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  <x:c r="K46" s="2"/>
      <x:c r="L46" s="2"/>
    </x:row>
    <x:row r="47" ht="19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  <x:c r="K47" s="2"/>
      <x:c r="L47" s="2"/>
    </x:row>
    <x:row r="48" ht="19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B14:J16"/>
    <x:mergeCell ref="B18:J18"/>
    <x:mergeCell ref="B38:J41"/>
  </x:mergeCells>
  <x:pageMargins left="0.7" right="0.7" top="0.75" bottom="0.75" header="0.3" footer="0.3"/>
  <x:legacyDrawing xmlns:r="http://schemas.openxmlformats.org/officeDocument/2006/relationships" r:id="Ra96da6d10751426d"/>
</x:worksheet>
</file>

<file path=xl/worksheets/sheet8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DCF | STANDALONE VALUE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Operating rent and SBC remain costs. Gordon growth is the primary lens; exit multiple is a separate cross-check.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  <x:c r="K4" s="2"/>
      <x:c r="L4" s="2"/>
    </x:row>
    <x:row r="5" ht="19" hidden="0" customHeight="1">
      <x:c r="A5" s="88"/>
      <x:c r="B5" s="88" t="str">
        <x:v>Cost of equity</x:v>
      </x:c>
      <x:c r="C5" s="219" t="n">
        <x:f aca="0">'Assumptions'!$C$27+'Assumptions'!$C$29*'Assumptions'!$C$28+'Assumptions'!$C$30</x:f>
        <x:v>0.10200000000000001</x:v>
      </x:c>
      <x:c r="D5" s="88"/>
      <x:c r="E5" s="88"/>
      <x:c r="F5" s="88"/>
      <x:c r="G5" s="88"/>
      <x:c r="H5" s="88"/>
      <x:c r="I5" s="88"/>
      <x:c r="J5" s="88"/>
      <x:c r="K5" s="2"/>
      <x:c r="L5" s="2"/>
    </x:row>
    <x:row r="6" ht="19" hidden="0" customHeight="1">
      <x:c r="A6" s="88"/>
      <x:c r="B6" s="88" t="str">
        <x:v>After-tax borrowing cost</x:v>
      </x:c>
      <x:c r="C6" s="219" t="n">
        <x:f aca="0">'Assumptions'!$F$22*(1-'Assumptions'!$F$14)</x:f>
        <x:v>0.042625</x:v>
      </x:c>
      <x:c r="D6" s="88"/>
      <x:c r="E6" s="88"/>
      <x:c r="F6" s="88"/>
      <x:c r="G6" s="88"/>
      <x:c r="H6" s="88"/>
      <x:c r="I6" s="88"/>
      <x:c r="J6" s="88"/>
      <x:c r="K6" s="2"/>
      <x:c r="L6" s="2"/>
    </x:row>
    <x:row r="7" ht="19" hidden="0" customHeight="1">
      <x:c r="A7" s="88"/>
      <x:c r="B7" s="88" t="str">
        <x:v>Equity capital weight</x:v>
      </x:c>
      <x:c r="C7" s="219" t="n">
        <x:f aca="0">'Verified Inputs'!$C$63/('Verified Inputs'!$C$63+'Verified Inputs'!$C$61)</x:f>
        <x:v>0.8440064703486031</x:v>
      </x:c>
      <x:c r="D7" s="88"/>
      <x:c r="E7" s="88"/>
      <x:c r="F7" s="88"/>
      <x:c r="G7" s="88"/>
      <x:c r="H7" s="88"/>
      <x:c r="I7" s="88"/>
      <x:c r="J7" s="88"/>
      <x:c r="K7" s="2"/>
      <x:c r="L7" s="2"/>
    </x:row>
    <x:row r="8" ht="19" hidden="0" customHeight="1">
      <x:c r="A8" s="88"/>
      <x:c r="B8" s="111" t="str">
        <x:v>Calculated WACC</x:v>
      </x:c>
      <x:c r="C8" s="141" t="n">
        <x:f aca="0">C7*C5+(1-C7)*C6</x:f>
        <x:v>0.09273788417694831</x:v>
      </x:c>
      <x:c r="D8" s="88"/>
      <x:c r="E8" s="125"/>
      <x:c r="F8" s="88"/>
      <x:c r="G8" s="88"/>
      <x:c r="H8" s="88"/>
      <x:c r="I8" s="88"/>
      <x:c r="J8" s="88"/>
      <x:c r="K8" s="2"/>
      <x:c r="L8" s="2"/>
    </x:row>
    <x:row r="9" ht="19" hidden="0" customHeight="1">
      <x:c r="A9" s="88"/>
      <x:c r="B9" s="88" t="str">
        <x:v>Active WACC</x:v>
      </x:c>
      <x:c r="C9" s="219" t="n">
        <x:f aca="0">IF('Assumptions'!$C$33&gt;0,'Assumptions'!$C$33,C8)</x:f>
        <x:v>0.09273788417694831</x:v>
      </x:c>
      <x:c r="D9" s="88"/>
      <x:c r="E9" s="88"/>
      <x:c r="F9" s="88"/>
      <x:c r="G9" s="88"/>
      <x:c r="H9" s="88"/>
      <x:c r="I9" s="88"/>
      <x:c r="J9" s="88"/>
      <x:c r="K9" s="2"/>
      <x:c r="L9" s="2"/>
    </x:row>
    <x:row r="10" ht="19" hidden="0" customHeight="1">
      <x:c r="A10" s="88"/>
      <x:c r="B10" s="88" t="str">
        <x:v>Terminal growth</x:v>
      </x:c>
      <x:c r="C10" s="219" t="n">
        <x:f aca="0">'Assumptions'!$C$31</x:f>
        <x:v>0.03</x:v>
      </x:c>
      <x:c r="D10" s="88"/>
      <x:c r="E10" s="88"/>
      <x:c r="F10" s="88"/>
      <x:c r="G10" s="88"/>
      <x:c r="H10" s="88"/>
      <x:c r="I10" s="88"/>
      <x:c r="J10" s="88"/>
      <x:c r="K10" s="2"/>
      <x:c r="L10" s="2"/>
    </x:row>
    <x:row r="11" ht="19" hidden="0" customHeight="1">
      <x:c r="A11" s="88"/>
      <x:c r="B11" s="88"/>
      <x:c r="C11" s="128"/>
      <x:c r="D11" s="88"/>
      <x:c r="E11" s="88"/>
      <x:c r="F11" s="88"/>
      <x:c r="G11" s="88"/>
      <x:c r="H11" s="88"/>
      <x:c r="I11" s="88"/>
      <x:c r="J11" s="88"/>
      <x:c r="K11" s="2"/>
      <x:c r="L11" s="2"/>
    </x:row>
    <x:row r="12" ht="19" hidden="0" customHeight="1">
      <x:c r="A12" s="88"/>
      <x:c r="B12" s="88" t="str">
        <x:v>Fiscal period</x:v>
      </x:c>
      <x:c r="C12" s="221" t="str">
        <x:f aca="0">'Operating Forecast'!C5</x:f>
        <x:v>H2 FY2027E</x:v>
      </x:c>
      <x:c r="D12" s="228" t="str">
        <x:f>'Operating Forecast'!D5</x:f>
        <x:v>FY2028E</x:v>
      </x:c>
      <x:c r="E12" s="230" t="str">
        <x:f>'Operating Forecast'!E5</x:f>
        <x:v>FY2029E</x:v>
      </x:c>
      <x:c r="F12" s="228" t="str">
        <x:f>'Operating Forecast'!F5</x:f>
        <x:v>FY2030E</x:v>
      </x:c>
      <x:c r="G12" s="228" t="str">
        <x:f>'Operating Forecast'!G5</x:f>
        <x:v>FY2031E</x:v>
      </x:c>
      <x:c r="H12" s="88"/>
      <x:c r="I12" s="88"/>
      <x:c r="J12" s="88"/>
      <x:c r="K12" s="2"/>
      <x:c r="L12" s="2"/>
    </x:row>
    <x:row r="13" ht="19" hidden="0" customHeight="1">
      <x:c r="A13" s="88"/>
      <x:c r="B13" s="111" t="str">
        <x:v>Cash-flow year-end</x:v>
      </x:c>
      <x:c r="C13" s="223" t="n">
        <x:f aca="0">'Operating Forecast'!C6</x:f>
        <x:v>46418</x:v>
      </x:c>
      <x:c r="D13" s="229" t="n">
        <x:f>'Operating Forecast'!D6</x:f>
        <x:v>46783</x:v>
      </x:c>
      <x:c r="E13" s="229" t="n">
        <x:f>'Operating Forecast'!E6</x:f>
        <x:v>47149</x:v>
      </x:c>
      <x:c r="F13" s="229" t="n">
        <x:f>'Operating Forecast'!F6</x:f>
        <x:v>47514</x:v>
      </x:c>
      <x:c r="G13" s="229" t="n">
        <x:f>'Operating Forecast'!G6</x:f>
        <x:v>47879</x:v>
      </x:c>
      <x:c r="H13" s="88"/>
      <x:c r="I13" s="88"/>
      <x:c r="J13" s="88"/>
      <x:c r="K13" s="2"/>
      <x:c r="L13" s="2"/>
    </x:row>
    <x:row r="14" ht="19" hidden="0" customHeight="1">
      <x:c r="A14" s="88"/>
      <x:c r="B14" s="111" t="str">
        <x:v>Years from valuation to period end</x:v>
      </x:c>
      <x:c r="C14" s="225" t="n">
        <x:f aca="0">MAX(0,(C13-'Verified Inputs'!$C$5)/365)</x:f>
        <x:v>0.40821917808219177</x:v>
      </x:c>
      <x:c r="D14" s="226" t="n">
        <x:f>MAX(0,(D13-'Verified Inputs'!$C$5)/365)</x:f>
        <x:v>1.4082191780821918</x:v>
      </x:c>
      <x:c r="E14" s="226" t="n">
        <x:f>MAX(0,(E13-'Verified Inputs'!$C$5)/365)</x:f>
        <x:v>2.410958904109589</x:v>
      </x:c>
      <x:c r="F14" s="226" t="n">
        <x:f>MAX(0,(F13-'Verified Inputs'!$C$5)/365)</x:f>
        <x:v>3.410958904109589</x:v>
      </x:c>
      <x:c r="G14" s="226" t="n">
        <x:f>MAX(0,(G13-'Verified Inputs'!$C$5)/365)</x:f>
        <x:v>4.410958904109589</x:v>
      </x:c>
      <x:c r="H14" s="88"/>
      <x:c r="I14" s="88"/>
      <x:c r="J14" s="88"/>
      <x:c r="K14" s="2"/>
      <x:c r="L14" s="2"/>
    </x:row>
    <x:row r="15" ht="19" hidden="0" customHeight="1">
      <x:c r="A15" s="88"/>
      <x:c r="B15" s="88" t="str">
        <x:v>Discount period</x:v>
      </x:c>
      <x:c r="C15" s="226" t="n">
        <x:f>C14-IF('Assumptions'!$C$34=1,(C14-0)/2,0)</x:f>
        <x:v>0.20410958904109588</x:v>
      </x:c>
      <x:c r="D15" s="226" t="n">
        <x:f>D14-IF('Assumptions'!$C$34=1,(D14-C14)/2,0)</x:f>
        <x:v>0.9082191780821918</x:v>
      </x:c>
      <x:c r="E15" s="226" t="n">
        <x:f>E14-IF('Assumptions'!$C$34=1,(E14-D14)/2,0)</x:f>
        <x:v>1.9095890410958902</x:v>
      </x:c>
      <x:c r="F15" s="226" t="n">
        <x:f>F14-IF('Assumptions'!$C$34=1,(F14-E14)/2,0)</x:f>
        <x:v>2.910958904109589</x:v>
      </x:c>
      <x:c r="G15" s="226" t="n">
        <x:f>G14-IF('Assumptions'!$C$34=1,(G14-F14)/2,0)</x:f>
        <x:v>3.910958904109589</x:v>
      </x:c>
      <x:c r="H15" s="88"/>
      <x:c r="I15" s="88"/>
      <x:c r="J15" s="88"/>
      <x:c r="K15" s="2"/>
      <x:c r="L15" s="2"/>
    </x:row>
    <x:row r="16" ht="19" hidden="0" customHeight="1">
      <x:c r="A16" s="111"/>
      <x:c r="B16" s="111" t="str">
        <x:v>Share of period cash flow after valuation</x:v>
      </x:c>
      <x:c r="C16" s="227" t="n">
        <x:f>MAX(0,MIN(1,(C13-'Verified Inputs'!$C$5)/(C13-'Verified Inputs'!$C$6)))</x:f>
        <x:v>0.8097826086956522</x:v>
      </x:c>
      <x:c r="D16" s="146" t="n">
        <x:f>1</x:f>
        <x:v>1</x:v>
      </x:c>
      <x:c r="E16" s="146" t="n">
        <x:f>1</x:f>
        <x:v>1</x:v>
      </x:c>
      <x:c r="F16" s="146" t="n">
        <x:f>1</x:f>
        <x:v>1</x:v>
      </x:c>
      <x:c r="G16" s="146" t="n">
        <x:f>1</x:f>
        <x:v>1</x:v>
      </x:c>
      <x:c r="H16" s="111"/>
      <x:c r="I16" s="111"/>
      <x:c r="J16" s="111"/>
      <x:c r="K16" s="2"/>
      <x:c r="L16" s="2"/>
    </x:row>
    <x:row r="17" ht="19" hidden="0" customHeight="1">
      <x:c r="A17" s="88"/>
      <x:c r="B17" s="111" t="str">
        <x:v>Unlevered cash flow after valuation</x:v>
      </x:c>
      <x:c r="C17" s="192" t="n">
        <x:f>'Operating Forecast'!C90*C16</x:f>
        <x:v>3766.327730197748</x:v>
      </x:c>
      <x:c r="D17" s="192" t="n">
        <x:f>'Operating Forecast'!D90*D16</x:f>
        <x:v>10449.33872027935</x:v>
      </x:c>
      <x:c r="E17" s="192" t="n">
        <x:f>'Operating Forecast'!E90*E16</x:f>
        <x:v>11264.021122656768</x:v>
      </x:c>
      <x:c r="F17" s="192" t="n">
        <x:f>'Operating Forecast'!F90*F16</x:f>
        <x:v>12144.257331564235</x:v>
      </x:c>
      <x:c r="G17" s="192" t="n">
        <x:f>'Operating Forecast'!G90*G16</x:f>
        <x:v>12331.080327505317</x:v>
      </x:c>
      <x:c r="H17" s="88"/>
      <x:c r="I17" s="88"/>
      <x:c r="J17" s="88"/>
      <x:c r="K17" s="2"/>
      <x:c r="L17" s="2"/>
    </x:row>
    <x:row r="18" ht="19" hidden="0" customHeight="1">
      <x:c r="A18" s="88"/>
      <x:c r="B18" s="88" t="str">
        <x:v>Discount factor</x:v>
      </x:c>
      <x:c r="C18" s="186" t="n">
        <x:f>1/(1+$C$9)^C15</x:f>
        <x:v>0.9820611143708248</x:v>
      </x:c>
      <x:c r="D18" s="186" t="n">
        <x:f>1/(1+$C$9)^D15</x:f>
        <x:v>0.9226118539156243</x:v>
      </x:c>
      <x:c r="E18" s="186" t="n">
        <x:f>1/(1+$C$9)^E15</x:f>
        <x:v>0.8442095653973276</x:v>
      </x:c>
      <x:c r="F18" s="186" t="n">
        <x:f>1/(1+$C$9)^F15</x:f>
        <x:v>0.7724697957040584</x:v>
      </x:c>
      <x:c r="G18" s="186" t="n">
        <x:f>1/(1+$C$9)^G15</x:f>
        <x:v>0.7069122493962801</x:v>
      </x:c>
      <x:c r="H18" s="88"/>
      <x:c r="I18" s="88"/>
      <x:c r="J18" s="88"/>
      <x:c r="K18" s="2"/>
      <x:c r="L18" s="2"/>
    </x:row>
    <x:row r="19" ht="19" hidden="0" customHeight="1">
      <x:c r="A19" s="88"/>
      <x:c r="B19" s="88" t="str">
        <x:v>Present value of cash flow</x:v>
      </x:c>
      <x:c r="C19" s="142" t="n">
        <x:f aca="0">C17*C18</x:f>
        <x:v>3698.76400780374</x:v>
      </x:c>
      <x:c r="D19" s="142" t="n">
        <x:f aca="0">D17*D18</x:f>
        <x:v>9640.683768909248</x:v>
      </x:c>
      <x:c r="E19" s="142" t="n">
        <x:f aca="0">E17*E18</x:f>
        <x:v>9509.194376584388</x:v>
      </x:c>
      <x:c r="F19" s="142" t="n">
        <x:f aca="0">F17*F18</x:f>
        <x:v>9381.071979890938</x:v>
      </x:c>
      <x:c r="G19" s="142" t="n">
        <x:f aca="0">G17*G18</x:f>
        <x:v>8716.991731803002</x:v>
      </x:c>
      <x:c r="H19" s="88"/>
      <x:c r="I19" s="88"/>
      <x:c r="J19" s="88"/>
      <x:c r="K19" s="2"/>
      <x:c r="L19" s="2"/>
    </x:row>
    <x:row r="20" ht="19" hidden="0" customHeight="1">
      <x:c r="A20" s="88"/>
      <x:c r="B20" s="88"/>
      <x:c r="C20" s="128"/>
      <x:c r="D20" s="128"/>
      <x:c r="E20" s="128"/>
      <x:c r="F20" s="128"/>
      <x:c r="G20" s="128"/>
      <x:c r="H20" s="88"/>
      <x:c r="I20" s="88"/>
      <x:c r="J20" s="88"/>
      <x:c r="K20" s="2"/>
      <x:c r="L20" s="2"/>
    </x:row>
    <x:row r="21" ht="19" hidden="0" customHeight="1">
      <x:c r="A21" s="88"/>
      <x:c r="B21" s="88"/>
      <x:c r="C21" s="186"/>
      <x:c r="D21" s="186"/>
      <x:c r="E21" s="186"/>
      <x:c r="F21" s="186"/>
      <x:c r="G21" s="186"/>
      <x:c r="H21" s="88"/>
      <x:c r="I21" s="88"/>
      <x:c r="J21" s="88"/>
      <x:c r="K21" s="2"/>
      <x:c r="L21" s="2"/>
    </x:row>
    <x:row r="22" ht="19" hidden="0" customHeight="1">
      <x:c r="A22" s="88"/>
      <x:c r="B22" s="198" t="str">
        <x:v>PV of explicit forecast cash flows</x:v>
      </x:c>
      <x:c r="C22" s="199" t="n">
        <x:f aca="0">SUM(C19:G19)</x:f>
        <x:v>40946.705864991316</x:v>
      </x:c>
      <x:c r="D22" s="234"/>
      <x:c r="E22" s="234"/>
      <x:c r="F22" s="234"/>
      <x:c r="G22" s="234"/>
      <x:c r="H22" s="88"/>
      <x:c r="I22" s="88"/>
      <x:c r="J22" s="88"/>
      <x:c r="K22" s="2"/>
      <x:c r="L22" s="2"/>
    </x:row>
    <x:row r="23" ht="19" hidden="0" customHeight="1">
      <x:c r="A23" s="88"/>
      <x:c r="B23" s="88"/>
      <x:c r="C23" s="88"/>
      <x:c r="D23" s="88"/>
      <x:c r="E23" s="88"/>
      <x:c r="F23" s="88"/>
      <x:c r="G23" s="88"/>
      <x:c r="H23" s="88"/>
      <x:c r="I23" s="88"/>
      <x:c r="J23" s="88"/>
      <x:c r="K23" s="2"/>
      <x:c r="L23" s="2"/>
    </x:row>
    <x:row r="24" ht="19" hidden="0" customHeight="1">
      <x:c r="A24" s="88"/>
      <x:c r="B24" s="111"/>
      <x:c r="C24" s="119"/>
      <x:c r="D24" s="88"/>
      <x:c r="E24" s="88"/>
      <x:c r="F24" s="88"/>
      <x:c r="G24" s="88"/>
      <x:c r="H24" s="88"/>
      <x:c r="I24" s="88"/>
      <x:c r="J24" s="88"/>
      <x:c r="K24" s="2"/>
      <x:c r="L24" s="2"/>
    </x:row>
    <x:row r="25" ht="19" hidden="0" customHeight="1">
      <x:c r="A25" s="88"/>
      <x:c r="B25" s="88" t="str">
        <x:v>Terminal annual revenue</x:v>
      </x:c>
      <x:c r="C25" s="106" t="n">
        <x:f>'Operating Forecast'!G9*(1+C10)</x:f>
        <x:v>63736.55625149441</x:v>
      </x:c>
      <x:c r="D25" s="88"/>
      <x:c r="E25" s="88"/>
      <x:c r="F25" s="88"/>
      <x:c r="G25" s="88"/>
      <x:c r="H25" s="88"/>
      <x:c r="I25" s="88"/>
      <x:c r="J25" s="88"/>
      <x:c r="K25" s="2"/>
      <x:c r="L25" s="2"/>
    </x:row>
    <x:row r="26" ht="19" hidden="0" customHeight="1">
      <x:c r="A26" s="88"/>
      <x:c r="B26" s="111" t="str">
        <x:v>Terminal operating margin</x:v>
      </x:c>
      <x:c r="C26" s="231" t="n">
        <x:f>'Operating Forecast'!G16</x:f>
        <x:v>0.21300000000000002</x:v>
      </x:c>
      <x:c r="D26" s="88"/>
      <x:c r="E26" s="88"/>
      <x:c r="F26" s="88"/>
      <x:c r="G26" s="88"/>
      <x:c r="H26" s="88"/>
      <x:c r="I26" s="88"/>
      <x:c r="J26" s="88"/>
      <x:c r="K26" s="2"/>
      <x:c r="L26" s="2"/>
    </x:row>
    <x:row r="27" ht="19" hidden="0" customHeight="1">
      <x:c r="A27" s="88"/>
      <x:c r="B27" s="88" t="str">
        <x:v>Terminal EBIT</x:v>
      </x:c>
      <x:c r="C27" s="142" t="n">
        <x:f aca="0">C25*C26</x:f>
        <x:v>13575.88648156831</x:v>
      </x:c>
      <x:c r="D27" s="88"/>
      <x:c r="E27" s="88"/>
      <x:c r="F27" s="88"/>
      <x:c r="G27" s="88"/>
      <x:c r="H27" s="88"/>
      <x:c r="I27" s="88"/>
      <x:c r="J27" s="88"/>
      <x:c r="K27" s="2"/>
      <x:c r="L27" s="2"/>
    </x:row>
    <x:row r="28" ht="19" hidden="0" customHeight="1">
      <x:c r="A28" s="88"/>
      <x:c r="B28" s="88" t="str">
        <x:v>Cash taxes on terminal EBIT</x:v>
      </x:c>
      <x:c r="C28" s="192" t="n">
        <x:f aca="0">-MAX(0,C27)*'Assumptions'!$F$14</x:f>
        <x:v>-3054.57445835287</x:v>
      </x:c>
      <x:c r="D28" s="88"/>
      <x:c r="E28" s="88"/>
      <x:c r="F28" s="88"/>
      <x:c r="G28" s="88"/>
      <x:c r="H28" s="88"/>
      <x:c r="I28" s="88"/>
      <x:c r="J28" s="88"/>
      <x:c r="K28" s="2"/>
      <x:c r="L28" s="2"/>
    </x:row>
    <x:row r="29" ht="19" hidden="0" customHeight="1">
      <x:c r="A29" s="88"/>
      <x:c r="B29" s="88" t="str">
        <x:v>Terminal PP&amp;E depreciation</x:v>
      </x:c>
      <x:c r="C29" s="195" t="n">
        <x:f aca="0">C25*'Assumptions'!$F$15</x:f>
        <x:v>956.0483437724162</x:v>
      </x:c>
      <x:c r="D29" s="88"/>
      <x:c r="E29" s="88"/>
      <x:c r="F29" s="88"/>
      <x:c r="G29" s="88"/>
      <x:c r="H29" s="88"/>
      <x:c r="I29" s="88"/>
      <x:c r="J29" s="88"/>
      <x:c r="K29" s="2"/>
      <x:c r="L29" s="2"/>
    </x:row>
    <x:row r="30" ht="19" hidden="0" customHeight="1">
      <x:c r="A30" s="88"/>
      <x:c r="B30" s="88" t="str">
        <x:v>Terminal capital expenditure</x:v>
      </x:c>
      <x:c r="C30" s="195" t="n">
        <x:f aca="0">-C25*'Assumptions'!$F$17</x:f>
        <x:v>-1083.521456275405</x:v>
      </x:c>
      <x:c r="D30" s="88"/>
      <x:c r="E30" s="88"/>
      <x:c r="F30" s="88"/>
      <x:c r="G30" s="88"/>
      <x:c r="H30" s="88"/>
      <x:c r="I30" s="88"/>
      <x:c r="J30" s="88"/>
      <x:c r="K30" s="2"/>
      <x:c r="L30" s="2"/>
    </x:row>
    <x:row r="31" ht="19" hidden="0" customHeight="1">
      <x:c r="A31" s="88"/>
      <x:c r="B31" s="111" t="str">
        <x:v>Terminal change in operating NWC</x:v>
      </x:c>
      <x:c r="C31" s="192" t="n">
        <x:f aca="0">-('Verified Inputs'!$C$44-'Verified Inputs'!$C$45)*(C25-'Operating Forecast'!G9)</x:f>
        <x:v>621.9905242206702</x:v>
      </x:c>
      <x:c r="D31" s="88"/>
      <x:c r="E31" s="88"/>
      <x:c r="F31" s="88"/>
      <x:c r="G31" s="88"/>
      <x:c r="H31" s="88"/>
      <x:c r="I31" s="88"/>
      <x:c r="J31" s="88"/>
      <x:c r="K31" s="2"/>
      <x:c r="L31" s="2"/>
    </x:row>
    <x:row r="32" ht="19" hidden="0" customHeight="1">
      <x:c r="A32" s="88"/>
      <x:c r="B32" s="198" t="str">
        <x:v>Terminal unlevered cash flow</x:v>
      </x:c>
      <x:c r="C32" s="199" t="n">
        <x:f aca="0">SUM(C27:C31)</x:f>
        <x:v>11015.82943493312</x:v>
      </x:c>
      <x:c r="D32" s="198"/>
      <x:c r="E32" s="203"/>
      <x:c r="F32" s="198"/>
      <x:c r="G32" s="198"/>
      <x:c r="H32" s="88"/>
      <x:c r="I32" s="88"/>
      <x:c r="J32" s="88"/>
      <x:c r="K32" s="2"/>
      <x:c r="L32" s="2"/>
    </x:row>
    <x:row r="33" ht="19" hidden="0" customHeight="1">
      <x:c r="A33" s="88"/>
      <x:c r="B33" s="88" t="str">
        <x:v>Perpetuity terminal value</x:v>
      </x:c>
      <x:c r="C33" s="142" t="n">
        <x:f aca="0">IF(C9&gt;C10,C32/(C9-C10),0)</x:f>
        <x:v>175584.96878638203</x:v>
      </x:c>
      <x:c r="D33" s="88"/>
      <x:c r="E33" s="88"/>
      <x:c r="F33" s="88"/>
      <x:c r="G33" s="88"/>
      <x:c r="H33" s="88"/>
      <x:c r="I33" s="88"/>
      <x:c r="J33" s="88"/>
      <x:c r="K33" s="2"/>
      <x:c r="L33" s="2"/>
    </x:row>
    <x:row r="34" ht="19" hidden="0" customHeight="1">
      <x:c r="A34" s="88"/>
      <x:c r="B34" s="88" t="str">
        <x:v>PV of perpetuity terminal value</x:v>
      </x:c>
      <x:c r="C34" s="98" t="n">
        <x:f>C33/(1+C9)^G14</x:f>
        <x:v>118739.39778588008</x:v>
      </x:c>
      <x:c r="D34" s="88"/>
      <x:c r="E34" s="88"/>
      <x:c r="F34" s="88"/>
      <x:c r="G34" s="88"/>
      <x:c r="H34" s="88"/>
      <x:c r="I34" s="88"/>
      <x:c r="J34" s="88"/>
      <x:c r="K34" s="2"/>
      <x:c r="L34" s="2"/>
    </x:row>
    <x:row r="35" ht="19" hidden="0" customHeight="1">
      <x:c r="A35" s="88"/>
      <x:c r="B35" s="198" t="str">
        <x:v>Perpetuity enterprise value</x:v>
      </x:c>
      <x:c r="C35" s="206" t="n">
        <x:f>C22+C34</x:f>
        <x:v>159686.1036508714</x:v>
      </x:c>
      <x:c r="D35" s="198"/>
      <x:c r="E35" s="198"/>
      <x:c r="F35" s="198"/>
      <x:c r="G35" s="198"/>
      <x:c r="H35" s="88"/>
      <x:c r="I35" s="88"/>
      <x:c r="J35" s="88"/>
      <x:c r="K35" s="2"/>
      <x:c r="L35" s="2"/>
    </x:row>
    <x:row r="36" ht="19" hidden="0" customHeight="1">
      <x:c r="A36" s="88"/>
      <x:c r="B36" s="88" t="str">
        <x:v>Terminal contribution to EV</x:v>
      </x:c>
      <x:c r="C36" s="138" t="n">
        <x:f aca="0">IF(C35&gt;0,C34/C35,0)</x:f>
        <x:v>0.7435800302666608</x:v>
      </x:c>
      <x:c r="D36" s="88"/>
      <x:c r="E36" s="88"/>
      <x:c r="F36" s="88"/>
      <x:c r="G36" s="88"/>
      <x:c r="H36" s="88"/>
      <x:c r="I36" s="88"/>
      <x:c r="J36" s="88"/>
      <x:c r="K36" s="2"/>
      <x:c r="L36" s="2"/>
    </x:row>
    <x:row r="37" ht="19" hidden="0" customHeight="1">
      <x:c r="A37" s="88"/>
      <x:c r="B37" s="88" t="str">
        <x:v>Implied terminal EBITDA multiple</x:v>
      </x:c>
      <x:c r="C37" s="154" t="n">
        <x:f aca="0">IF(C27+C29&gt;0,C33/(C27+C29),0)</x:f>
        <x:v>12.082697238649716</x:v>
      </x:c>
      <x:c r="D37" s="88"/>
      <x:c r="E37" s="88"/>
      <x:c r="F37" s="88"/>
      <x:c r="G37" s="88"/>
      <x:c r="H37" s="88"/>
      <x:c r="I37" s="88"/>
      <x:c r="J37" s="88"/>
      <x:c r="K37" s="2"/>
      <x:c r="L37" s="2"/>
    </x:row>
    <x:row r="38" ht="19" hidden="0" customHeight="1">
      <x:c r="A38" s="88"/>
      <x:c r="B38" s="88"/>
      <x:c r="C38" s="128"/>
      <x:c r="D38" s="88"/>
      <x:c r="E38" s="88"/>
      <x:c r="F38" s="88"/>
      <x:c r="G38" s="88"/>
      <x:c r="H38" s="88"/>
      <x:c r="I38" s="88"/>
      <x:c r="J38" s="88"/>
      <x:c r="K38" s="2"/>
      <x:c r="L38" s="2"/>
    </x:row>
    <x:row r="39" ht="19" hidden="0" customHeight="1">
      <x:c r="A39" s="88"/>
      <x:c r="B39" s="111"/>
      <x:c r="C39" s="119"/>
      <x:c r="D39" s="88"/>
      <x:c r="E39" s="88"/>
      <x:c r="F39" s="88"/>
      <x:c r="G39" s="88"/>
      <x:c r="H39" s="88"/>
      <x:c r="I39" s="88"/>
      <x:c r="J39" s="88"/>
      <x:c r="K39" s="2"/>
      <x:c r="L39" s="2"/>
    </x:row>
    <x:row r="40" ht="19" hidden="0" customHeight="1">
      <x:c r="A40" s="88"/>
      <x:c r="B40" s="88" t="str">
        <x:v>Exit multiple</x:v>
      </x:c>
      <x:c r="C40" s="232" t="n">
        <x:f aca="0">'Assumptions'!$C$32</x:f>
        <x:v>16</x:v>
      </x:c>
      <x:c r="D40" s="88"/>
      <x:c r="E40" s="88"/>
      <x:c r="F40" s="88"/>
      <x:c r="G40" s="88"/>
      <x:c r="H40" s="88"/>
      <x:c r="I40" s="88"/>
      <x:c r="J40" s="88"/>
      <x:c r="K40" s="2"/>
      <x:c r="L40" s="2"/>
    </x:row>
    <x:row r="41" ht="19" hidden="0" customHeight="1">
      <x:c r="A41" s="88"/>
      <x:c r="B41" s="88" t="str">
        <x:v>Final-year EBITDA</x:v>
      </x:c>
      <x:c r="C41" s="106" t="n">
        <x:f>'Operating Forecast'!G20</x:f>
        <x:v>14865.907464421773</x:v>
      </x:c>
      <x:c r="D41" s="88"/>
      <x:c r="E41" s="88"/>
      <x:c r="F41" s="88"/>
      <x:c r="G41" s="88"/>
      <x:c r="H41" s="88"/>
      <x:c r="I41" s="88"/>
      <x:c r="J41" s="88"/>
      <x:c r="K41" s="2"/>
      <x:c r="L41" s="2"/>
    </x:row>
    <x:row r="42" ht="19" hidden="0" customHeight="1">
      <x:c r="A42" s="111"/>
      <x:c r="B42" s="111" t="str">
        <x:v>Exit terminal value</x:v>
      </x:c>
      <x:c r="C42" s="188" t="n">
        <x:f>C40*C41</x:f>
        <x:v>237854.51943074836</x:v>
      </x:c>
      <x:c r="D42" s="111"/>
      <x:c r="E42" s="111"/>
      <x:c r="F42" s="111"/>
      <x:c r="G42" s="111"/>
      <x:c r="H42" s="111"/>
      <x:c r="I42" s="111"/>
      <x:c r="J42" s="111"/>
      <x:c r="K42" s="2"/>
      <x:c r="L42" s="2"/>
    </x:row>
    <x:row r="43" ht="19" hidden="0" customHeight="1">
      <x:c r="A43" s="88"/>
      <x:c r="B43" s="88" t="str">
        <x:v>PV of exit terminal value</x:v>
      </x:c>
      <x:c r="C43" s="145" t="n">
        <x:f>C42/(1+C9)^G14</x:f>
        <x:v>160849.20362526734</x:v>
      </x:c>
      <x:c r="D43" s="114"/>
      <x:c r="E43" s="88"/>
      <x:c r="F43" s="88"/>
      <x:c r="G43" s="88"/>
      <x:c r="H43" s="88"/>
      <x:c r="I43" s="88"/>
      <x:c r="J43" s="88"/>
      <x:c r="K43" s="2"/>
      <x:c r="L43" s="2"/>
    </x:row>
    <x:row r="44" ht="19" hidden="0" customHeight="1">
      <x:c r="A44" s="88"/>
      <x:c r="B44" s="198" t="str">
        <x:v>Exit-method enterprise value</x:v>
      </x:c>
      <x:c r="C44" s="199" t="n">
        <x:f aca="0">C22+C43</x:f>
        <x:v>201795.90949025867</x:v>
      </x:c>
      <x:c r="D44" s="234"/>
      <x:c r="E44" s="198"/>
      <x:c r="F44" s="198"/>
      <x:c r="G44" s="198"/>
      <x:c r="H44" s="88"/>
      <x:c r="I44" s="88"/>
      <x:c r="J44" s="88"/>
      <x:c r="K44" s="2"/>
      <x:c r="L44" s="2"/>
    </x:row>
    <x:row r="45" ht="19" hidden="0" customHeight="1">
      <x:c r="A45" s="88"/>
      <x:c r="B45" s="88"/>
      <x:c r="C45" s="128"/>
      <x:c r="D45" s="128"/>
      <x:c r="E45" s="88"/>
      <x:c r="F45" s="88"/>
      <x:c r="G45" s="88"/>
      <x:c r="H45" s="88"/>
      <x:c r="I45" s="88"/>
      <x:c r="J45" s="88"/>
      <x:c r="K45" s="2"/>
      <x:c r="L45" s="2"/>
    </x:row>
    <x:row r="46" ht="19" hidden="0" customHeight="1">
      <x:c r="A46" s="88"/>
      <x:c r="B46" s="111"/>
      <x:c r="C46" s="119" t="str">
        <x:v>Perpetuity</x:v>
      </x:c>
      <x:c r="D46" s="119" t="str">
        <x:v>Exit cross-check</x:v>
      </x:c>
      <x:c r="E46" s="88"/>
      <x:c r="F46" s="88"/>
      <x:c r="G46" s="88"/>
      <x:c r="H46" s="88"/>
      <x:c r="I46" s="88"/>
      <x:c r="J46" s="88"/>
      <x:c r="K46" s="2"/>
      <x:c r="L46" s="2"/>
    </x:row>
    <x:row r="47" ht="19" hidden="0" customHeight="1">
      <x:c r="A47" s="88"/>
      <x:c r="B47" s="88" t="str">
        <x:v>Enterprise value</x:v>
      </x:c>
      <x:c r="C47" s="142" t="n">
        <x:f aca="0">C35</x:f>
        <x:v>159686.1036508714</x:v>
      </x:c>
      <x:c r="D47" s="142" t="n">
        <x:f aca="0">C44</x:f>
        <x:v>201795.90949025867</x:v>
      </x:c>
      <x:c r="E47" s="88"/>
      <x:c r="F47" s="88"/>
      <x:c r="G47" s="88"/>
      <x:c r="H47" s="88"/>
      <x:c r="I47" s="88"/>
      <x:c r="J47" s="88"/>
      <x:c r="K47" s="2"/>
      <x:c r="L47" s="2"/>
    </x:row>
    <x:row r="48" ht="19" hidden="0" customHeight="1">
      <x:c r="A48" s="88"/>
      <x:c r="B48" s="111" t="str">
        <x:v>Add excess cash</x:v>
      </x:c>
      <x:c r="C48" s="192" t="n">
        <x:f aca="0">'Verified Inputs'!$C$60</x:f>
        <x:v>8403</x:v>
      </x:c>
      <x:c r="D48" s="192" t="n">
        <x:f aca="0">'Verified Inputs'!$C$60</x:f>
        <x:v>8403</x:v>
      </x:c>
      <x:c r="E48" s="88"/>
      <x:c r="F48" s="88"/>
      <x:c r="G48" s="88"/>
      <x:c r="H48" s="88"/>
      <x:c r="I48" s="88"/>
      <x:c r="J48" s="88"/>
      <x:c r="K48" s="2"/>
      <x:c r="L48" s="2"/>
    </x:row>
    <x:row r="49" ht="19" hidden="0" customHeight="1">
      <x:c r="A49" s="88"/>
      <x:c r="B49" s="88" t="str">
        <x:v>Less funded debt</x:v>
      </x:c>
      <x:c r="C49" s="195" t="n">
        <x:f aca="0">-'Verified Inputs'!$C$61</x:f>
        <x:v>-39288</x:v>
      </x:c>
      <x:c r="D49" s="195" t="n">
        <x:f aca="0">-'Verified Inputs'!$C$61</x:f>
        <x:v>-39288</x:v>
      </x:c>
      <x:c r="E49" s="88"/>
      <x:c r="F49" s="88"/>
      <x:c r="G49" s="88"/>
      <x:c r="H49" s="88"/>
      <x:c r="I49" s="88"/>
      <x:c r="J49" s="88"/>
      <x:c r="K49" s="2"/>
      <x:c r="L49" s="2"/>
    </x:row>
    <x:row r="50" ht="19" hidden="0" customHeight="1">
      <x:c r="A50" s="88"/>
      <x:c r="B50" s="111" t="str">
        <x:v>Add separately valued investments</x:v>
      </x:c>
      <x:c r="C50" s="192" t="n">
        <x:f aca="0">'Verified Inputs'!$C$15</x:f>
        <x:v>0</x:v>
      </x:c>
      <x:c r="D50" s="192" t="n">
        <x:f aca="0">'Verified Inputs'!$C$15</x:f>
        <x:v>0</x:v>
      </x:c>
      <x:c r="E50" s="88"/>
      <x:c r="F50" s="88"/>
      <x:c r="G50" s="88"/>
      <x:c r="H50" s="88"/>
      <x:c r="I50" s="88"/>
      <x:c r="J50" s="88"/>
      <x:c r="K50" s="2"/>
      <x:c r="L50" s="2"/>
    </x:row>
    <x:row r="51" ht="19" hidden="0" customHeight="1">
      <x:c r="A51" s="88"/>
      <x:c r="B51" s="198" t="str">
        <x:v>Equity value</x:v>
      </x:c>
      <x:c r="C51" s="206" t="n">
        <x:f>SUM(C47:C50)</x:f>
        <x:v>128801.1036508714</x:v>
      </x:c>
      <x:c r="D51" s="206" t="n">
        <x:f>SUM(D47:D50)</x:f>
        <x:v>170910.90949025867</x:v>
      </x:c>
      <x:c r="E51" s="198"/>
      <x:c r="F51" s="198"/>
      <x:c r="G51" s="198"/>
      <x:c r="H51" s="88"/>
      <x:c r="I51" s="88"/>
      <x:c r="J51" s="88"/>
      <x:c r="K51" s="2"/>
      <x:c r="L51" s="2"/>
    </x:row>
    <x:row r="52" ht="19" hidden="0" customHeight="1">
      <x:c r="A52" s="88"/>
      <x:c r="B52" s="88" t="str">
        <x:v>Diluted-share proxy</x:v>
      </x:c>
      <x:c r="C52" s="106" t="n">
        <x:f>'Verified Inputs'!$C$8</x:f>
        <x:v>821</x:v>
      </x:c>
      <x:c r="D52" s="106" t="n">
        <x:f>'Verified Inputs'!$C$8</x:f>
        <x:v>821</x:v>
      </x:c>
      <x:c r="E52" s="88"/>
      <x:c r="F52" s="88"/>
      <x:c r="G52" s="88"/>
      <x:c r="H52" s="88"/>
      <x:c r="I52" s="88"/>
      <x:c r="J52" s="88"/>
      <x:c r="K52" s="2"/>
      <x:c r="L52" s="2"/>
    </x:row>
    <x:row r="53" ht="19" hidden="0" customHeight="1">
      <x:c r="A53" s="88"/>
      <x:c r="B53" s="198" t="str">
        <x:v>Value per share</x:v>
      </x:c>
      <x:c r="C53" s="236" t="n">
        <x:f>IF(AND($C$9&gt;$C$10,C52&gt;0),C51/C52,0)</x:f>
        <x:v>156.88319567706625</x:v>
      </x:c>
      <x:c r="D53" s="236" t="n">
        <x:f>IF(AND($C$9&gt;$C$10,D52&gt;0),D51/D52,0)</x:f>
        <x:v>208.174067588622</x:v>
      </x:c>
      <x:c r="E53" s="198"/>
      <x:c r="F53" s="198"/>
      <x:c r="G53" s="198"/>
      <x:c r="H53" s="88"/>
      <x:c r="I53" s="88"/>
      <x:c r="J53" s="88"/>
      <x:c r="K53" s="2"/>
      <x:c r="L53" s="2"/>
    </x:row>
    <x:row r="54" ht="19" hidden="0" customHeight="1">
      <x:c r="A54" s="88"/>
      <x:c r="B54" s="88" t="str">
        <x:v>Share-price snapshot</x:v>
      </x:c>
      <x:c r="C54" s="233" t="n">
        <x:f>'Verified Inputs'!$C$7</x:f>
        <x:v>259.23</x:v>
      </x:c>
      <x:c r="D54" s="233" t="n">
        <x:f>'Verified Inputs'!$C$7</x:f>
        <x:v>259.23</x:v>
      </x:c>
      <x:c r="E54" s="88"/>
      <x:c r="F54" s="88"/>
      <x:c r="G54" s="88"/>
      <x:c r="H54" s="88"/>
      <x:c r="I54" s="88"/>
      <x:c r="J54" s="88"/>
      <x:c r="K54" s="2"/>
      <x:c r="L54" s="2"/>
    </x:row>
    <x:row r="55" ht="19" hidden="0" customHeight="1">
      <x:c r="A55" s="88"/>
      <x:c r="B55" s="88" t="str">
        <x:v>Value / price less one</x:v>
      </x:c>
      <x:c r="C55" s="101" t="n">
        <x:f>IF(C54&gt;0,C53/C54-1,0)</x:f>
        <x:v>-0.394810802464737</x:v>
      </x:c>
      <x:c r="D55" s="101" t="n">
        <x:f>IF(D54&gt;0,D53/D54-1,0)</x:f>
        <x:v>-0.19695225248380988</x:v>
      </x:c>
      <x:c r="E55" s="88"/>
      <x:c r="F55" s="88"/>
      <x:c r="G55" s="88"/>
      <x:c r="H55" s="88"/>
      <x:c r="I55" s="88"/>
      <x:c r="J55" s="88"/>
      <x:c r="K55" s="2"/>
      <x:c r="L55" s="2"/>
    </x:row>
    <x:row r="56" ht="19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  <x:c r="K56" s="2"/>
      <x:c r="L56" s="2"/>
    </x:row>
    <x:row r="57" ht="19" hidden="0" customHeight="1">
      <x:c r="A57" s="88"/>
      <x:c r="B57" s="88"/>
      <x:c r="C57" s="88"/>
      <x:c r="D57" s="88"/>
      <x:c r="E57" s="88"/>
      <x:c r="F57" s="88"/>
      <x:c r="G57" s="88"/>
      <x:c r="H57" s="88"/>
      <x:c r="I57" s="88"/>
      <x:c r="J57" s="88"/>
      <x:c r="K57" s="2"/>
      <x:c r="L57" s="2"/>
    </x:row>
    <x:row r="58" ht="19" hidden="0" customHeight="1">
      <x:c r="A58" s="88"/>
      <x:c r="B58" s="88" t="str">
        <x:v>Terminal net reinvestment</x:v>
      </x:c>
      <x:c r="C58" s="98" t="n">
        <x:f>-C30-C29-C31</x:f>
        <x:v>-494.5174117176814</x:v>
      </x:c>
      <x:c r="D58" s="88"/>
      <x:c r="E58" s="88"/>
      <x:c r="F58" s="88"/>
      <x:c r="G58" s="88"/>
      <x:c r="H58" s="88"/>
      <x:c r="I58" s="88"/>
      <x:c r="J58" s="88"/>
      <x:c r="K58" s="2"/>
      <x:c r="L58" s="2"/>
    </x:row>
    <x:row r="59" ht="19" hidden="0" customHeight="1">
      <x:c r="A59" s="88"/>
      <x:c r="B59" s="88" t="str">
        <x:v>Terminal reinvestment / NOPAT</x:v>
      </x:c>
      <x:c r="C59" s="101" t="n">
        <x:f>IF(C27+C28&gt;0,C58/(C27+C28),0)</x:f>
        <x:v>-0.047001496640962745</x:v>
      </x:c>
      <x:c r="D59" s="88"/>
      <x:c r="E59" s="88"/>
      <x:c r="F59" s="88"/>
      <x:c r="G59" s="88"/>
      <x:c r="H59" s="88"/>
      <x:c r="I59" s="88"/>
      <x:c r="J59" s="88"/>
      <x:c r="K59" s="2"/>
      <x:c r="L59" s="2"/>
    </x:row>
    <x:row r="60" ht="19" hidden="0" customHeight="1">
      <x:c r="A60" s="88"/>
      <x:c r="B60" s="88" t="str">
        <x:v>ROIC implied by positive reinvestment</x:v>
      </x:c>
      <x:c r="C60" s="101" t="n">
        <x:f>IF(C59&gt;0,C10/C59,0)</x:f>
        <x:v>0</x:v>
      </x:c>
      <x:c r="D60" s="88"/>
      <x:c r="E60" s="88"/>
      <x:c r="F60" s="88"/>
      <x:c r="G60" s="88"/>
      <x:c r="H60" s="88"/>
      <x:c r="I60" s="88"/>
      <x:c r="J60" s="88"/>
      <x:c r="K60" s="2"/>
      <x:c r="L60" s="2"/>
    </x:row>
    <x:row r="61" ht="19" hidden="0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  <x:c r="K61" s="2"/>
      <x:c r="L61" s="2"/>
    </x:row>
    <x:row r="62" ht="19" hidden="0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  <x:c r="K62" s="2"/>
      <x:c r="L62" s="2"/>
    </x:row>
    <x:row r="63" ht="19" hidden="0" customHeight="1">
      <x:c r="A63" s="88"/>
      <x:c r="B63" s="107" t="str">
        <x:v>Timing assumption: H2 cash flow is allocated evenly. The DCF values only the portion after September 4, 2026; later periods follow the selected discounting convention.</x:v>
      </x:c>
      <x:c r="C63" s="107"/>
      <x:c r="D63" s="107"/>
      <x:c r="E63" s="107"/>
      <x:c r="F63" s="107"/>
      <x:c r="G63" s="107"/>
      <x:c r="H63" s="107"/>
      <x:c r="I63" s="107"/>
      <x:c r="J63" s="107"/>
      <x:c r="K63" s="2"/>
      <x:c r="L63" s="2"/>
    </x:row>
    <x:row r="64" ht="19" hidden="0" customHeight="1">
      <x:c r="A64" s="88"/>
      <x:c r="B64" s="107"/>
      <x:c r="C64" s="107"/>
      <x:c r="D64" s="107"/>
      <x:c r="E64" s="107"/>
      <x:c r="F64" s="107"/>
      <x:c r="G64" s="107"/>
      <x:c r="H64" s="107"/>
      <x:c r="I64" s="107"/>
      <x:c r="J64" s="107"/>
      <x:c r="K64" s="2"/>
      <x:c r="L64" s="2"/>
    </x:row>
    <x:row r="65" ht="19" hidden="0" customHeight="1">
      <x:c r="A65" s="88"/>
      <x:c r="B65" s="107"/>
      <x:c r="C65" s="107"/>
      <x:c r="D65" s="107"/>
      <x:c r="E65" s="107"/>
      <x:c r="F65" s="107"/>
      <x:c r="G65" s="107"/>
      <x:c r="H65" s="107"/>
      <x:c r="I65" s="107"/>
      <x:c r="J65" s="107"/>
      <x:c r="K65" s="2"/>
      <x:c r="L65" s="2"/>
    </x:row>
    <x:row r="66" ht="19" hidden="0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  <x:c r="K66" s="2"/>
      <x:c r="L66" s="2"/>
    </x:row>
    <x:row r="67" ht="19" hidden="0" customHeight="1">
      <x:c r="A67" s="88"/>
      <x:c r="B67" s="107" t="str">
        <x:v>Terminal cash flow uses the long-term growth and reinvestment assumptions. Existing acquired intangibles are fully amortized before perpetuity. An implied ROIC of zero denotes no positive reinvestment.</x:v>
      </x:c>
      <x:c r="C67" s="107"/>
      <x:c r="D67" s="107"/>
      <x:c r="E67" s="107"/>
      <x:c r="F67" s="107"/>
      <x:c r="G67" s="107"/>
      <x:c r="H67" s="107"/>
      <x:c r="I67" s="107"/>
      <x:c r="J67" s="107"/>
      <x:c r="K67" s="2"/>
      <x:c r="L67" s="2"/>
    </x:row>
    <x:row r="68" ht="19" hidden="0" customHeight="1">
      <x:c r="A68" s="88"/>
      <x:c r="B68" s="107"/>
      <x:c r="C68" s="107"/>
      <x:c r="D68" s="107"/>
      <x:c r="E68" s="107"/>
      <x:c r="F68" s="107"/>
      <x:c r="G68" s="107"/>
      <x:c r="H68" s="107"/>
      <x:c r="I68" s="107"/>
      <x:c r="J68" s="107"/>
      <x:c r="K68" s="2"/>
      <x:c r="L68" s="2"/>
    </x:row>
    <x:row r="69" ht="19" hidden="0" customHeight="1">
      <x:c r="A69" s="88"/>
      <x:c r="B69" s="107"/>
      <x:c r="C69" s="107"/>
      <x:c r="D69" s="107"/>
      <x:c r="E69" s="107"/>
      <x:c r="F69" s="107"/>
      <x:c r="G69" s="107"/>
      <x:c r="H69" s="107"/>
      <x:c r="I69" s="107"/>
      <x:c r="J69" s="107"/>
      <x:c r="K69" s="2"/>
      <x:c r="L69" s="2"/>
    </x:row>
    <x:row r="70" ht="19" hidden="0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  <x:c r="K70" s="2"/>
      <x:c r="L70" s="2"/>
    </x:row>
    <x:row r="71" ht="19" hidden="0" customHeight="1">
      <x:c r="A71" s="88"/>
      <x:c r="B71" s="107" t="str">
        <x:v>WACC must exceed terminal growth. Cases that fail this check show zero and a FAIL status. Standalone value excludes buyer-created synergies.</x:v>
      </x:c>
      <x:c r="C71" s="107"/>
      <x:c r="D71" s="107"/>
      <x:c r="E71" s="107"/>
      <x:c r="F71" s="107"/>
      <x:c r="G71" s="107"/>
      <x:c r="H71" s="107"/>
      <x:c r="I71" s="107"/>
      <x:c r="J71" s="107"/>
      <x:c r="K71" s="2"/>
      <x:c r="L71" s="2"/>
    </x:row>
    <x:row r="72" ht="19" hidden="0" customHeight="1">
      <x:c r="A72" s="88"/>
      <x:c r="B72" s="107"/>
      <x:c r="C72" s="107"/>
      <x:c r="D72" s="107"/>
      <x:c r="E72" s="107"/>
      <x:c r="F72" s="107"/>
      <x:c r="G72" s="107"/>
      <x:c r="H72" s="107"/>
      <x:c r="I72" s="107"/>
      <x:c r="J72" s="107"/>
      <x:c r="K72" s="2"/>
      <x:c r="L72" s="2"/>
    </x:row>
    <x:row r="73" ht="19" hidden="0" customHeight="1">
      <x:c r="A73" s="88"/>
      <x:c r="B73" s="107"/>
      <x:c r="C73" s="107"/>
      <x:c r="D73" s="107"/>
      <x:c r="E73" s="107"/>
      <x:c r="F73" s="107"/>
      <x:c r="G73" s="107"/>
      <x:c r="H73" s="107"/>
      <x:c r="I73" s="107"/>
      <x:c r="J73" s="107"/>
      <x:c r="K73" s="2"/>
      <x:c r="L73" s="2"/>
    </x:row>
    <x:row r="74" ht="19" hidden="0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  <x:c r="K74" s="2"/>
      <x:c r="L74" s="2"/>
    </x:row>
    <x:row r="75" ht="19" hidden="0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  <x:c r="K75" s="2"/>
      <x:c r="L75" s="2"/>
    </x:row>
    <x:row r="76" ht="19" hidden="0" customHeight="1">
      <x:c r="A76" s="88"/>
      <x:c r="B76" s="88"/>
      <x:c r="C76" s="88"/>
      <x:c r="D76" s="88"/>
      <x:c r="E76" s="88"/>
      <x:c r="F76" s="88"/>
      <x:c r="G76" s="88"/>
      <x:c r="H76" s="88"/>
      <x:c r="I76" s="88"/>
      <x:c r="J76" s="88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</x:sheetData>
  <x:mergeCells>
    <x:mergeCell ref="A1:J1"/>
    <x:mergeCell ref="A2:J3"/>
    <x:mergeCell ref="B63:J65"/>
    <x:mergeCell ref="B67:J69"/>
    <x:mergeCell ref="B71:J7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TRANSACTIONS | REFERENCE ASSUMPTIONS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Transaction references provide context and are excluded from the valuation calculations.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124" t="str">
        <x:v>Buyer</x:v>
      </x:c>
      <x:c r="C5" s="124" t="str">
        <x:v>Target</x:v>
      </x:c>
      <x:c r="D5" s="124" t="str">
        <x:v>Assumed value ($bn)</x:v>
      </x:c>
      <x:c r="E5" s="124" t="str">
        <x:v>Basis</x:v>
      </x:c>
      <x:c r="F5" s="114" t="str">
        <x:v>Comparison factors</x:v>
      </x:c>
      <x:c r="G5" s="114"/>
      <x:c r="H5" s="88"/>
      <x:c r="I5" s="88"/>
      <x:c r="J5" s="88"/>
    </x:row>
    <x:row r="6" ht="40" hidden="0" customHeight="1">
      <x:c r="A6" s="88"/>
      <x:c r="B6" s="94" t="str">
        <x:v>Salesforce</x:v>
      </x:c>
      <x:c r="C6" s="94" t="str">
        <x:v>Informatica</x:v>
      </x:c>
      <x:c r="D6" s="275" t="n">
        <x:v>8</x:v>
      </x:c>
      <x:c r="E6" s="94" t="str">
        <x:v>ASSUMPTION</x:v>
      </x:c>
      <x:c r="F6" s="276" t="str">
        <x:v>Announcement date, close status, EV vs equity, stake and contemporaneous earnings</x:v>
      </x:c>
      <x:c r="G6" s="277"/>
      <x:c r="H6" s="94"/>
      <x:c r="I6" s="94"/>
      <x:c r="J6" s="94"/>
    </x:row>
    <x:row r="7" ht="40" hidden="0" customHeight="1">
      <x:c r="A7" s="88"/>
      <x:c r="B7" s="94" t="str">
        <x:v>Salesforce</x:v>
      </x:c>
      <x:c r="C7" s="94" t="str">
        <x:v>Slack</x:v>
      </x:c>
      <x:c r="D7" s="275" t="n">
        <x:v>27.7</x:v>
      </x:c>
      <x:c r="E7" s="94" t="str">
        <x:v>ASSUMPTION</x:v>
      </x:c>
      <x:c r="F7" s="276" t="str">
        <x:v>Announcement date, close status, EV vs equity, stake and contemporaneous earnings</x:v>
      </x:c>
      <x:c r="G7" s="277"/>
      <x:c r="H7" s="94"/>
      <x:c r="I7" s="94"/>
      <x:c r="J7" s="94"/>
    </x:row>
    <x:row r="8" ht="40" hidden="0" customHeight="1">
      <x:c r="A8" s="88"/>
      <x:c r="B8" s="94" t="str">
        <x:v>Broadcom</x:v>
      </x:c>
      <x:c r="C8" s="94" t="str">
        <x:v>VMware</x:v>
      </x:c>
      <x:c r="D8" s="275" t="n">
        <x:v>69</x:v>
      </x:c>
      <x:c r="E8" s="94" t="str">
        <x:v>ASSUMPTION</x:v>
      </x:c>
      <x:c r="F8" s="276" t="str">
        <x:v>Announcement date, close status, EV vs equity, stake and contemporaneous earnings</x:v>
      </x:c>
      <x:c r="G8" s="277"/>
      <x:c r="H8" s="94"/>
      <x:c r="I8" s="94"/>
      <x:c r="J8" s="94"/>
    </x:row>
    <x:row r="9" ht="40" hidden="0" customHeight="1">
      <x:c r="A9" s="88"/>
      <x:c r="B9" s="94" t="str">
        <x:v>Synopsys</x:v>
      </x:c>
      <x:c r="C9" s="94" t="str">
        <x:v>Ansys</x:v>
      </x:c>
      <x:c r="D9" s="275" t="n">
        <x:v>35</x:v>
      </x:c>
      <x:c r="E9" s="94" t="str">
        <x:v>ASSUMPTION</x:v>
      </x:c>
      <x:c r="F9" s="276" t="str">
        <x:v>Announcement date, close status, EV vs equity, stake and contemporaneous earnings</x:v>
      </x:c>
      <x:c r="G9" s="277"/>
      <x:c r="H9" s="94"/>
      <x:c r="I9" s="94"/>
      <x:c r="J9" s="94"/>
    </x:row>
    <x:row r="10" ht="40" hidden="0" customHeight="1">
      <x:c r="A10" s="88"/>
      <x:c r="B10" s="94" t="str">
        <x:v>IBM</x:v>
      </x:c>
      <x:c r="C10" s="94" t="str">
        <x:v>HashiCorp</x:v>
      </x:c>
      <x:c r="D10" s="275" t="n">
        <x:v>6.4</x:v>
      </x:c>
      <x:c r="E10" s="94" t="str">
        <x:v>ASSUMPTION</x:v>
      </x:c>
      <x:c r="F10" s="276" t="str">
        <x:v>Announcement date, close status, EV vs equity, stake and contemporaneous earnings</x:v>
      </x:c>
      <x:c r="G10" s="277"/>
      <x:c r="H10" s="94"/>
      <x:c r="I10" s="94"/>
      <x:c r="J10" s="94"/>
    </x:row>
    <x:row r="11" ht="40" hidden="0" customHeight="1">
      <x:c r="A11" s="88"/>
      <x:c r="B11" s="94" t="str">
        <x:v>Adobe</x:v>
      </x:c>
      <x:c r="C11" s="94" t="str">
        <x:v>Figma</x:v>
      </x:c>
      <x:c r="D11" s="275" t="n">
        <x:v>20</x:v>
      </x:c>
      <x:c r="E11" s="94" t="str">
        <x:v>ASSUMPTION</x:v>
      </x:c>
      <x:c r="F11" s="276" t="str">
        <x:v>Announcement date, close status, EV vs equity, stake and contemporaneous earnings</x:v>
      </x:c>
      <x:c r="G11" s="277"/>
      <x:c r="H11" s="94"/>
      <x:c r="I11" s="94"/>
      <x:c r="J11" s="94"/>
    </x:row>
    <x:row r="12" ht="19" hidden="0" customHeight="1">
      <x:c r="A12" s="88"/>
      <x:c r="B12" s="88"/>
      <x:c r="C12" s="88"/>
      <x:c r="D12" s="88"/>
      <x:c r="E12" s="88"/>
      <x:c r="F12" s="88"/>
      <x:c r="G12" s="88"/>
      <x:c r="H12" s="88"/>
      <x:c r="I12" s="88"/>
      <x:c r="J12" s="88"/>
    </x:row>
    <x:row r="13" ht="19" hidden="0" customHeight="1">
      <x:c r="A13" s="88"/>
      <x:c r="B13" s="273"/>
      <x:c r="C13" s="273"/>
      <x:c r="D13" s="273"/>
      <x:c r="E13" s="273"/>
      <x:c r="F13" s="273"/>
      <x:c r="G13" s="273"/>
      <x:c r="H13" s="88"/>
      <x:c r="I13" s="88"/>
      <x:c r="J13" s="88"/>
    </x:row>
    <x:row r="14" ht="19" hidden="0" customHeight="1">
      <x:c r="A14" s="88"/>
      <x:c r="B14" s="273"/>
      <x:c r="C14" s="273"/>
      <x:c r="D14" s="273"/>
      <x:c r="E14" s="273"/>
      <x:c r="F14" s="273"/>
      <x:c r="G14" s="273"/>
      <x:c r="H14" s="88"/>
      <x:c r="I14" s="88"/>
      <x:c r="J14" s="88"/>
    </x:row>
    <x:row r="15" ht="19" hidden="0" customHeight="1">
      <x:c r="A15" s="88"/>
      <x:c r="B15" s="273" t="str">
        <x:v>Transaction values are reference assumptions. Compare enterprise value, equity value, ownership stake, announcement date and earnings period on a consistent basis. Proposed and terminated transactions are separate from completed deals.</x:v>
      </x:c>
      <x:c r="C15" s="273"/>
      <x:c r="D15" s="273"/>
      <x:c r="E15" s="273"/>
      <x:c r="F15" s="273"/>
      <x:c r="G15" s="273"/>
      <x:c r="H15" s="107"/>
      <x:c r="I15" s="107"/>
      <x:c r="J15" s="107"/>
    </x:row>
    <x:row r="16" ht="19" hidden="0" customHeight="1">
      <x:c r="A16" s="88"/>
      <x:c r="B16" s="273"/>
      <x:c r="C16" s="273"/>
      <x:c r="D16" s="273"/>
      <x:c r="E16" s="273"/>
      <x:c r="F16" s="273"/>
      <x:c r="G16" s="273"/>
      <x:c r="H16" s="107"/>
      <x:c r="I16" s="107"/>
      <x:c r="J16" s="107"/>
    </x:row>
    <x:row r="17" ht="19" hidden="0" customHeight="1">
      <x:c r="A17" s="88"/>
      <x:c r="B17" s="107"/>
      <x:c r="C17" s="107"/>
      <x:c r="D17" s="107"/>
      <x:c r="E17" s="107"/>
      <x:c r="F17" s="107"/>
      <x:c r="G17" s="107"/>
      <x:c r="H17" s="107"/>
      <x:c r="I17" s="107"/>
      <x:c r="J17" s="107"/>
    </x:row>
    <x:row r="18" ht="19" hidden="0" customHeight="1">
      <x:c r="A18" s="88"/>
      <x:c r="B18" s="107"/>
      <x:c r="C18" s="107"/>
      <x:c r="D18" s="107"/>
      <x:c r="E18" s="107"/>
      <x:c r="F18" s="107"/>
      <x:c r="G18" s="107"/>
      <x:c r="H18" s="107"/>
      <x:c r="I18" s="107"/>
      <x:c r="J18" s="107"/>
    </x:row>
    <x:row r="19" ht="19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</x:row>
    <x:row r="20" ht="19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</x:row>
    <x:row r="21" ht="19" hidden="0" customHeight="1">
      <x:c r="A21" s="88"/>
      <x:c r="B21" s="107" t="str"/>
      <x:c r="C21" s="107"/>
      <x:c r="D21" s="107"/>
      <x:c r="E21" s="107"/>
      <x:c r="F21" s="107"/>
      <x:c r="G21" s="107"/>
      <x:c r="H21" s="107"/>
      <x:c r="I21" s="107"/>
      <x:c r="J21" s="107"/>
    </x:row>
    <x:row r="22" ht="19" hidden="0" customHeight="1">
      <x:c r="A22" s="88"/>
      <x:c r="B22" s="107"/>
      <x:c r="C22" s="107"/>
      <x:c r="D22" s="107"/>
      <x:c r="E22" s="107"/>
      <x:c r="F22" s="107"/>
      <x:c r="G22" s="107"/>
      <x:c r="H22" s="107"/>
      <x:c r="I22" s="107"/>
      <x:c r="J22" s="107"/>
    </x:row>
    <x:row r="23" ht="19" hidden="0" customHeight="1">
      <x:c r="A23" s="88"/>
      <x:c r="B23" s="107"/>
      <x:c r="C23" s="107"/>
      <x:c r="D23" s="107"/>
      <x:c r="E23" s="107"/>
      <x:c r="F23" s="107"/>
      <x:c r="G23" s="107"/>
      <x:c r="H23" s="107"/>
      <x:c r="I23" s="107"/>
      <x:c r="J23" s="107"/>
    </x:row>
    <x:row r="24" ht="19" hidden="0" customHeight="1">
      <x:c r="A24" s="88"/>
      <x:c r="B24" s="88"/>
      <x:c r="C24" s="88"/>
      <x:c r="D24" s="88"/>
      <x:c r="E24" s="88"/>
      <x:c r="F24" s="88"/>
      <x:c r="G24" s="88"/>
      <x:c r="H24" s="88"/>
      <x:c r="I24" s="88"/>
      <x:c r="J24" s="88"/>
    </x:row>
    <x:row r="25" ht="19" hidden="0" customHeight="1">
      <x:c r="A25" s="88"/>
      <x:c r="B25" s="88"/>
      <x:c r="C25" s="88"/>
      <x:c r="D25" s="88"/>
      <x:c r="E25" s="88"/>
      <x:c r="F25" s="88"/>
      <x:c r="G25" s="88"/>
      <x:c r="H25" s="88"/>
      <x:c r="I25" s="88"/>
      <x:c r="J25" s="88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</x:row>
    <x:row r="28" ht="19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</x:row>
    <x:row r="29" ht="19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</x:row>
    <x:row r="33" ht="19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</x:sheetData>
  <x:mergeCells>
    <x:mergeCell ref="A1:J1"/>
    <x:mergeCell ref="A2:J3"/>
    <x:mergeCell ref="F6:J6"/>
    <x:mergeCell ref="F7:J7"/>
    <x:mergeCell ref="F8:J8"/>
    <x:mergeCell ref="F9:J9"/>
    <x:mergeCell ref="F10:J10"/>
    <x:mergeCell ref="F11:J11"/>
    <x:mergeCell ref="B15:J18"/>
    <x:mergeCell ref="B21:J2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FF0000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SUM OF THE PARTS | METHODOLOGY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Separate business values, shared costs and one consolidated cash-and-debt bridge.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88"/>
      <x:c r="B4" s="279"/>
      <x:c r="C4" s="279"/>
      <x:c r="D4" s="279"/>
      <x:c r="E4" s="279"/>
      <x:c r="F4" s="279"/>
      <x:c r="G4" s="279"/>
      <x:c r="H4" s="279"/>
      <x:c r="I4" s="88"/>
      <x:c r="J4" s="88"/>
    </x:row>
    <x:row r="5" ht="19" hidden="0" customHeight="1">
      <x:c r="A5" s="88"/>
      <x:c r="B5" s="279" t="str">
        <x:v>Salesforce reports revenue by category. A cloud-by-cloud valuation also requires assumptions for standalone margins and shared costs.</x:v>
      </x:c>
      <x:c r="C5" s="279"/>
      <x:c r="D5" s="279"/>
      <x:c r="E5" s="279"/>
      <x:c r="F5" s="279"/>
      <x:c r="G5" s="279"/>
      <x:c r="H5" s="279"/>
      <x:c r="I5" s="107"/>
      <x:c r="J5" s="107"/>
    </x:row>
    <x:row r="6" ht="19" hidden="0" customHeight="1">
      <x:c r="A6" s="88"/>
      <x:c r="B6" s="279"/>
      <x:c r="C6" s="279"/>
      <x:c r="D6" s="279"/>
      <x:c r="E6" s="279"/>
      <x:c r="F6" s="279"/>
      <x:c r="G6" s="279"/>
      <x:c r="H6" s="279"/>
      <x:c r="I6" s="107"/>
      <x:c r="J6" s="107"/>
    </x:row>
    <x:row r="7" ht="19" hidden="0" customHeight="1">
      <x:c r="A7" s="88"/>
      <x:c r="B7" s="279"/>
      <x:c r="C7" s="279"/>
      <x:c r="D7" s="279"/>
      <x:c r="E7" s="279"/>
      <x:c r="F7" s="279"/>
      <x:c r="G7" s="279"/>
      <x:c r="H7" s="279"/>
      <x:c r="I7" s="107"/>
      <x:c r="J7" s="107"/>
    </x:row>
    <x:row r="8" ht="19" hidden="0" customHeight="1">
      <x:c r="A8" s="88"/>
      <x:c r="B8" s="279"/>
      <x:c r="C8" s="279"/>
      <x:c r="D8" s="279"/>
      <x:c r="E8" s="279"/>
      <x:c r="F8" s="279"/>
      <x:c r="G8" s="279"/>
      <x:c r="H8" s="279"/>
      <x:c r="I8" s="107"/>
      <x:c r="J8" s="107"/>
    </x:row>
    <x:row r="9" ht="19" hidden="0" customHeight="1">
      <x:c r="A9" s="88"/>
      <x:c r="B9" s="88"/>
      <x:c r="C9" s="88"/>
      <x:c r="D9" s="88"/>
      <x:c r="E9" s="88"/>
      <x:c r="F9" s="88"/>
      <x:c r="G9" s="88"/>
      <x:c r="H9" s="88"/>
      <x:c r="I9" s="88"/>
      <x:c r="J9" s="88"/>
    </x:row>
    <x:row r="10" ht="19" hidden="0" customHeight="1">
      <x:c r="A10" s="88"/>
      <x:c r="B10" s="88"/>
      <x:c r="C10" s="88"/>
      <x:c r="D10" s="88"/>
      <x:c r="E10" s="88"/>
      <x:c r="F10" s="88"/>
      <x:c r="G10" s="88"/>
      <x:c r="H10" s="88"/>
      <x:c r="I10" s="88"/>
      <x:c r="J10" s="88"/>
    </x:row>
    <x:row r="11" ht="19" hidden="0" customHeight="1">
      <x:c r="A11" s="88"/>
      <x:c r="B11" s="107" t="str">
        <x:v>This model uses consolidated valuation. SOTP is excluded from the summary; a separate analysis would require business-unit earnings, central costs and separation assumptions.</x:v>
      </x:c>
      <x:c r="C11" s="107"/>
      <x:c r="D11" s="107"/>
      <x:c r="E11" s="107"/>
      <x:c r="F11" s="107"/>
      <x:c r="G11" s="107"/>
      <x:c r="H11" s="107"/>
      <x:c r="I11" s="107"/>
      <x:c r="J11" s="107"/>
    </x:row>
    <x:row r="12" ht="19" hidden="0" customHeight="1">
      <x:c r="A12" s="88"/>
      <x:c r="B12" s="107"/>
      <x:c r="C12" s="107"/>
      <x:c r="D12" s="107"/>
      <x:c r="E12" s="107"/>
      <x:c r="F12" s="107"/>
      <x:c r="G12" s="107"/>
      <x:c r="H12" s="107"/>
      <x:c r="I12" s="107"/>
      <x:c r="J12" s="107"/>
    </x:row>
    <x:row r="13" ht="19" hidden="0" customHeight="1">
      <x:c r="A13" s="88"/>
      <x:c r="B13" s="107"/>
      <x:c r="C13" s="107"/>
      <x:c r="D13" s="107"/>
      <x:c r="E13" s="107"/>
      <x:c r="F13" s="107"/>
      <x:c r="G13" s="107"/>
      <x:c r="H13" s="107"/>
      <x:c r="I13" s="107"/>
      <x:c r="J13" s="107"/>
    </x:row>
    <x:row r="14" ht="19" hidden="0" customHeight="1">
      <x:c r="A14" s="88"/>
      <x:c r="B14" s="88"/>
      <x:c r="C14" s="88"/>
      <x:c r="D14" s="88"/>
      <x:c r="E14" s="88"/>
      <x:c r="F14" s="88"/>
      <x:c r="G14" s="88"/>
      <x:c r="H14" s="88"/>
      <x:c r="I14" s="88"/>
      <x:c r="J14" s="88"/>
    </x:row>
    <x:row r="15" ht="19" hidden="0" customHeight="1">
      <x:c r="A15" s="88"/>
      <x:c r="B15" s="88"/>
      <x:c r="C15" s="88"/>
      <x:c r="D15" s="88"/>
      <x:c r="E15" s="88"/>
      <x:c r="F15" s="88"/>
      <x:c r="G15" s="88"/>
      <x:c r="H15" s="88"/>
      <x:c r="I15" s="88"/>
      <x:c r="J15" s="88"/>
    </x:row>
    <x:row r="16" ht="19" hidden="0" customHeight="1">
      <x:c r="A16" s="88"/>
      <x:c r="B16" s="88"/>
      <x:c r="C16" s="88"/>
      <x:c r="D16" s="88"/>
      <x:c r="E16" s="88"/>
      <x:c r="F16" s="88"/>
      <x:c r="G16" s="88"/>
      <x:c r="H16" s="88"/>
      <x:c r="I16" s="88"/>
      <x:c r="J16" s="88"/>
    </x:row>
    <x:row r="17" ht="19" hidden="0" customHeight="1">
      <x:c r="A17" s="88"/>
      <x:c r="B17" s="88"/>
      <x:c r="C17" s="88"/>
      <x:c r="D17" s="88"/>
      <x:c r="E17" s="88"/>
      <x:c r="F17" s="88"/>
      <x:c r="G17" s="88"/>
      <x:c r="H17" s="88"/>
      <x:c r="I17" s="88"/>
      <x:c r="J17" s="88"/>
    </x:row>
    <x:row r="18" ht="19" hidden="0" customHeight="1">
      <x:c r="A18" s="88"/>
      <x:c r="B18" s="88"/>
      <x:c r="C18" s="88"/>
      <x:c r="D18" s="88"/>
      <x:c r="E18" s="88"/>
      <x:c r="F18" s="88"/>
      <x:c r="G18" s="88"/>
      <x:c r="H18" s="88"/>
      <x:c r="I18" s="88"/>
      <x:c r="J18" s="88"/>
    </x:row>
    <x:row r="19" ht="19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</x:row>
    <x:row r="20" ht="19" hidden="0" customHeight="1">
      <x:c r="A20" s="88"/>
      <x:c r="B20" s="88"/>
      <x:c r="C20" s="88"/>
      <x:c r="D20" s="88"/>
      <x:c r="E20" s="88"/>
      <x:c r="F20" s="88"/>
      <x:c r="G20" s="88"/>
      <x:c r="H20" s="88"/>
      <x:c r="I20" s="88"/>
      <x:c r="J20" s="88"/>
    </x:row>
    <x:row r="21" ht="19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</x:row>
    <x:row r="22" ht="19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</x:row>
    <x:row r="23" ht="15" hidden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mergeCells>
    <x:mergeCell ref="A1:J1"/>
    <x:mergeCell ref="A2:J3"/>
    <x:mergeCell ref="B5:J8"/>
    <x:mergeCell ref="B11:J1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BUYER RETURNS | PRICE CEILING</x:v>
      </x:c>
      <x:c r="B1" s="134"/>
      <x:c r="C1" s="134"/>
      <x:c r="D1" s="134"/>
      <x:c r="E1" s="134"/>
      <x:c r="F1" s="134"/>
      <x:c r="G1" s="134"/>
      <x:c r="H1" s="134"/>
      <x:c r="I1" s="134"/>
      <x:c r="J1" s="134"/>
    </x:row>
    <x:row r="2" ht="19" hidden="0" customHeight="1">
      <x:c r="A2" s="136" t="str">
        <x:v>Acquisition financing and returns under the selected assumptions.</x:v>
      </x:c>
      <x:c r="B2" s="136"/>
      <x:c r="C2" s="136"/>
      <x:c r="D2" s="136"/>
      <x:c r="E2" s="136"/>
      <x:c r="F2" s="136"/>
      <x:c r="G2" s="136"/>
      <x:c r="H2" s="136"/>
      <x:c r="I2" s="136"/>
      <x:c r="J2" s="136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111"/>
      <x:c r="J4" s="111"/>
    </x:row>
    <x:row r="5" ht="19" hidden="0" customHeight="1">
      <x:c r="A5" s="88"/>
      <x:c r="B5" s="88" t="str">
        <x:v>Premium over share-price snapshot</x:v>
      </x:c>
      <x:c r="C5" s="219" t="n">
        <x:f>'Assumptions'!$C$39</x:f>
        <x:v>0.25</x:v>
      </x:c>
      <x:c r="D5" s="88"/>
      <x:c r="E5" s="88"/>
      <x:c r="F5" s="88"/>
      <x:c r="G5" s="88"/>
      <x:c r="H5" s="88"/>
      <x:c r="I5" s="88"/>
      <x:c r="J5" s="88"/>
    </x:row>
    <x:row r="6" ht="19" hidden="0" customHeight="1">
      <x:c r="A6" s="88"/>
      <x:c r="B6" s="88" t="str">
        <x:v>Offer price per diluted share</x:v>
      </x:c>
      <x:c r="C6" s="245" t="n">
        <x:f aca="0">'Verified Inputs'!$C$7*(1+C5)</x:f>
        <x:v>324.0375</x:v>
      </x:c>
      <x:c r="D6" s="88"/>
      <x:c r="E6" s="88"/>
      <x:c r="F6" s="88"/>
      <x:c r="G6" s="88"/>
      <x:c r="H6" s="88"/>
      <x:c r="I6" s="88"/>
      <x:c r="J6" s="88"/>
    </x:row>
    <x:row r="7" ht="19" hidden="0" customHeight="1">
      <x:c r="A7" s="88"/>
      <x:c r="B7" s="88" t="str">
        <x:v>Equity consideration</x:v>
      </x:c>
      <x:c r="C7" s="195" t="n">
        <x:f aca="0">C6*'Verified Inputs'!$C$8</x:f>
        <x:v>266034.78750000003</x:v>
      </x:c>
      <x:c r="D7" s="88"/>
      <x:c r="E7" s="88"/>
      <x:c r="F7" s="88"/>
      <x:c r="G7" s="88"/>
      <x:c r="H7" s="88"/>
      <x:c r="I7" s="88"/>
      <x:c r="J7" s="88"/>
    </x:row>
    <x:row r="8" ht="19" hidden="0" customHeight="1">
      <x:c r="A8" s="88"/>
      <x:c r="B8" s="88" t="str">
        <x:v>Net debt less nonoperating value</x:v>
      </x:c>
      <x:c r="C8" s="195" t="n">
        <x:f aca="0">'Verified Inputs'!$C$62-'Verified Inputs'!$C$15</x:f>
        <x:v>30885</x:v>
      </x:c>
      <x:c r="D8" s="88"/>
      <x:c r="E8" s="88"/>
      <x:c r="F8" s="88"/>
      <x:c r="G8" s="88"/>
      <x:c r="H8" s="88"/>
      <x:c r="I8" s="88"/>
      <x:c r="J8" s="88"/>
    </x:row>
    <x:row r="9" ht="19" hidden="0" customHeight="1">
      <x:c r="A9" s="88"/>
      <x:c r="B9" s="111" t="str">
        <x:v>Entry enterprise value</x:v>
      </x:c>
      <x:c r="C9" s="145" t="n">
        <x:f aca="0">C7+C8</x:f>
        <x:v>296919.78750000003</x:v>
      </x:c>
      <x:c r="D9" s="88"/>
      <x:c r="E9" s="88"/>
      <x:c r="F9" s="88"/>
      <x:c r="G9" s="88"/>
      <x:c r="H9" s="88"/>
      <x:c r="I9" s="88"/>
      <x:c r="J9" s="88"/>
    </x:row>
    <x:row r="10" ht="19" hidden="0" customHeight="1">
      <x:c r="A10" s="88"/>
      <x:c r="B10" s="88" t="str">
        <x:v>Annual normalized entry EBITDA</x:v>
      </x:c>
      <x:c r="C10" s="195" t="n">
        <x:f aca="0">'Operating Forecast'!C92</x:f>
        <x:v>11482.300000000001</x:v>
      </x:c>
      <x:c r="D10" s="88"/>
      <x:c r="E10" s="88"/>
      <x:c r="F10" s="88"/>
      <x:c r="G10" s="88"/>
      <x:c r="H10" s="88"/>
      <x:c r="I10" s="88"/>
      <x:c r="J10" s="88"/>
    </x:row>
    <x:row r="11" ht="19" hidden="0" customHeight="1">
      <x:c r="A11" s="88"/>
      <x:c r="B11" s="111" t="str">
        <x:v>Entry EV / EBITDA</x:v>
      </x:c>
      <x:c r="C11" s="254" t="n">
        <x:f aca="0">IF(C10&gt;0,C9/C10,0)</x:f>
        <x:v>25.858912195291886</x:v>
      </x:c>
      <x:c r="D11" s="88"/>
      <x:c r="E11" s="88"/>
      <x:c r="F11" s="88"/>
      <x:c r="G11" s="88"/>
      <x:c r="H11" s="88"/>
      <x:c r="I11" s="88"/>
      <x:c r="J11" s="88"/>
    </x:row>
    <x:row r="12" ht="19" hidden="0" customHeight="1">
      <x:c r="A12" s="88"/>
      <x:c r="B12" s="88"/>
      <x:c r="C12" s="88"/>
      <x:c r="D12" s="88"/>
      <x:c r="E12" s="88"/>
      <x:c r="F12" s="88"/>
      <x:c r="G12" s="88"/>
      <x:c r="H12" s="88"/>
      <x:c r="I12" s="88"/>
      <x:c r="J12" s="88"/>
    </x:row>
    <x:row r="13" ht="19" hidden="0" customHeight="1">
      <x:c r="A13" s="111"/>
      <x:c r="B13" s="111" t="str">
        <x:v>Acquisition leverage</x:v>
      </x:c>
      <x:c r="C13" s="256" t="n">
        <x:f>'Assumptions'!$C$40</x:f>
        <x:v>4</x:v>
      </x:c>
      <x:c r="D13" s="111"/>
      <x:c r="E13" s="111"/>
      <x:c r="F13" s="111"/>
      <x:c r="G13" s="111"/>
      <x:c r="H13" s="111"/>
      <x:c r="I13" s="111"/>
      <x:c r="J13" s="111"/>
    </x:row>
    <x:row r="14" ht="19" hidden="0" customHeight="1">
      <x:c r="A14" s="88"/>
      <x:c r="B14" s="88" t="str">
        <x:v>New funded acquisition debt</x:v>
      </x:c>
      <x:c r="C14" s="142" t="n">
        <x:f>MAX(0,C13*C10)</x:f>
        <x:v>45929.200000000004</x:v>
      </x:c>
      <x:c r="D14" s="88"/>
      <x:c r="E14" s="125"/>
      <x:c r="F14" s="88"/>
      <x:c r="G14" s="88"/>
      <x:c r="H14" s="88"/>
      <x:c r="I14" s="88"/>
      <x:c r="J14" s="88"/>
    </x:row>
    <x:row r="15" ht="19" hidden="0" customHeight="1">
      <x:c r="A15" s="88"/>
      <x:c r="B15" s="88" t="str">
        <x:v>Fees / EV</x:v>
      </x:c>
      <x:c r="C15" s="219" t="n">
        <x:f aca="0">'Assumptions'!$C$41</x:f>
        <x:v>0.02</x:v>
      </x:c>
      <x:c r="D15" s="88"/>
      <x:c r="E15" s="88"/>
      <x:c r="F15" s="88"/>
      <x:c r="G15" s="88"/>
      <x:c r="H15" s="88"/>
      <x:c r="I15" s="88"/>
      <x:c r="J15" s="88"/>
    </x:row>
    <x:row r="16" ht="19" hidden="0" customHeight="1">
      <x:c r="A16" s="88"/>
      <x:c r="B16" s="88" t="str">
        <x:v>Transaction fees</x:v>
      </x:c>
      <x:c r="C16" s="142" t="n">
        <x:f>MAX(0,C9)*C15</x:f>
        <x:v>5938.395750000001</x:v>
      </x:c>
      <x:c r="D16" s="88"/>
      <x:c r="E16" s="88"/>
      <x:c r="F16" s="88"/>
      <x:c r="G16" s="88"/>
      <x:c r="H16" s="88"/>
      <x:c r="I16" s="88"/>
      <x:c r="J16" s="88"/>
    </x:row>
    <x:row r="17" ht="19" hidden="0" customHeight="1">
      <x:c r="A17" s="88"/>
      <x:c r="B17" s="88" t="str">
        <x:v>Sponsor equity required</x:v>
      </x:c>
      <x:c r="C17" s="142" t="n">
        <x:f aca="0">C9+C16-C14</x:f>
        <x:v>256928.98325000005</x:v>
      </x:c>
      <x:c r="D17" s="88"/>
      <x:c r="E17" s="88"/>
      <x:c r="F17" s="88"/>
      <x:c r="G17" s="88"/>
      <x:c r="H17" s="88"/>
      <x:c r="I17" s="88"/>
      <x:c r="J17" s="88"/>
    </x:row>
    <x:row r="18" ht="19" hidden="0" customHeight="1">
      <x:c r="A18" s="88"/>
      <x:c r="B18" s="111"/>
      <x:c r="C18" s="119"/>
      <x:c r="D18" s="88"/>
      <x:c r="E18" s="88"/>
      <x:c r="F18" s="88"/>
      <x:c r="G18" s="88"/>
      <x:c r="H18" s="88"/>
      <x:c r="I18" s="88"/>
      <x:c r="J18" s="88"/>
    </x:row>
    <x:row r="19" ht="19" hidden="0" customHeight="1">
      <x:c r="A19" s="88"/>
      <x:c r="B19" s="88"/>
      <x:c r="C19" s="88"/>
      <x:c r="D19" s="88"/>
      <x:c r="E19" s="88"/>
      <x:c r="F19" s="88"/>
      <x:c r="G19" s="88"/>
      <x:c r="H19" s="88"/>
      <x:c r="I19" s="88"/>
      <x:c r="J19" s="88"/>
    </x:row>
    <x:row r="20" ht="19" hidden="0" customHeight="1">
      <x:c r="A20" s="111"/>
      <x:c r="B20" s="111" t="str">
        <x:v>Cash-flow period</x:v>
      </x:c>
      <x:c r="C20" s="257" t="str">
        <x:f>'Operating Forecast'!C5</x:f>
        <x:v>H2 FY2027E</x:v>
      </x:c>
      <x:c r="D20" s="257" t="str">
        <x:f>'Operating Forecast'!D5</x:f>
        <x:v>FY2028E</x:v>
      </x:c>
      <x:c r="E20" s="257" t="str">
        <x:f>'Operating Forecast'!E5</x:f>
        <x:v>FY2029E</x:v>
      </x:c>
      <x:c r="F20" s="257" t="str">
        <x:f>'Operating Forecast'!F5</x:f>
        <x:v>FY2030E</x:v>
      </x:c>
      <x:c r="G20" s="257" t="str">
        <x:f>'Operating Forecast'!G5</x:f>
        <x:v>FY2031E</x:v>
      </x:c>
      <x:c r="H20" s="111"/>
      <x:c r="I20" s="111"/>
      <x:c r="J20" s="111"/>
    </x:row>
    <x:row r="21" ht="19" hidden="0" customHeight="1">
      <x:c r="A21" s="88"/>
      <x:c r="B21" s="111" t="str">
        <x:v>Length after valuation (years)</x:v>
      </x:c>
      <x:c r="C21" s="225" t="n">
        <x:f>'DCF'!C14</x:f>
        <x:v>0.40821917808219177</x:v>
      </x:c>
      <x:c r="D21" s="225" t="n">
        <x:f>'DCF'!D14-'DCF'!C14</x:f>
        <x:v>1</x:v>
      </x:c>
      <x:c r="E21" s="225" t="n">
        <x:f>'DCF'!E14-'DCF'!D14</x:f>
        <x:v>1.0027397260273971</x:v>
      </x:c>
      <x:c r="F21" s="225" t="n">
        <x:f>'DCF'!F14-'DCF'!E14</x:f>
        <x:v>1</x:v>
      </x:c>
      <x:c r="G21" s="225" t="n">
        <x:f>'DCF'!G14-'DCF'!F14</x:f>
        <x:v>1</x:v>
      </x:c>
      <x:c r="H21" s="88"/>
      <x:c r="I21" s="88"/>
      <x:c r="J21" s="88"/>
    </x:row>
    <x:row r="22" ht="19" hidden="0" customHeight="1">
      <x:c r="A22" s="88"/>
      <x:c r="B22" s="88" t="str">
        <x:v>Unlevered cash flow</x:v>
      </x:c>
      <x:c r="C22" s="195" t="n">
        <x:f aca="0">'DCF'!C17</x:f>
        <x:v>3766.327730197748</x:v>
      </x:c>
      <x:c r="D22" s="195" t="n">
        <x:f aca="0">'DCF'!D17</x:f>
        <x:v>10449.33872027935</x:v>
      </x:c>
      <x:c r="E22" s="195" t="n">
        <x:f aca="0">'DCF'!E17</x:f>
        <x:v>11264.021122656768</x:v>
      </x:c>
      <x:c r="F22" s="195" t="n">
        <x:f aca="0">'DCF'!F17</x:f>
        <x:v>12144.257331564235</x:v>
      </x:c>
      <x:c r="G22" s="195" t="n">
        <x:f aca="0">'DCF'!G17</x:f>
        <x:v>12331.080327505317</x:v>
      </x:c>
      <x:c r="H22" s="88"/>
      <x:c r="I22" s="88"/>
      <x:c r="J22" s="88"/>
    </x:row>
    <x:row r="23" ht="19" hidden="0" customHeight="1">
      <x:c r="A23" s="88"/>
      <x:c r="B23" s="88" t="str">
        <x:v>Beginning debt</x:v>
      </x:c>
      <x:c r="C23" s="142" t="n">
        <x:f aca="0">$C$14</x:f>
        <x:v>45929.200000000004</x:v>
      </x:c>
      <x:c r="D23" s="142" t="n">
        <x:f aca="0">C28</x:f>
        <x:v>42962.05607898034</x:v>
      </x:c>
      <x:c r="E23" s="142" t="n">
        <x:f aca="0">D28</x:f>
        <x:v>34343.974999067534</x:v>
      </x:c>
      <x:c r="F23" s="142" t="n">
        <x:f aca="0">E28</x:f>
        <x:v>24547.876528374334</x:v>
      </x:c>
      <x:c r="G23" s="142" t="n">
        <x:f aca="0">F28</x:f>
        <x:v>13449.972433832056</x:v>
      </x:c>
      <x:c r="H23" s="88"/>
      <x:c r="I23" s="88"/>
      <x:c r="J23" s="88"/>
    </x:row>
    <x:row r="24" ht="19" hidden="0" customHeight="1">
      <x:c r="A24" s="88"/>
      <x:c r="B24" s="88" t="str">
        <x:v>After-tax cash interest</x:v>
      </x:c>
      <x:c r="C24" s="195" t="n">
        <x:f aca="0">-C23*'Assumptions'!$F$22*C21+MIN(C23*'Assumptions'!$F$22*C21,MAX(0,'Operating Forecast'!C15*'DCF'!C16))*'Assumptions'!$F$14</x:f>
        <x:v>-799.1838091780821</x:v>
      </x:c>
      <x:c r="D24" s="195" t="n">
        <x:f aca="0">-D23*'Assumptions'!$F$22*D21+MIN(D23*'Assumptions'!$F$22*D21,MAX(0,'Operating Forecast'!D15*'DCF'!D16))*'Assumptions'!$F$14</x:f>
        <x:v>-1831.257640366537</x:v>
      </x:c>
      <x:c r="E24" s="195" t="n">
        <x:f aca="0">-E23*'Assumptions'!$F$22*E21+MIN(E23*'Assumptions'!$F$22*E21,MAX(0,'Operating Forecast'!E15*'DCF'!E16))*'Assumptions'!$F$14</x:f>
        <x:v>-1467.922651963569</x:v>
      </x:c>
      <x:c r="F24" s="195" t="n">
        <x:f aca="0">-F23*'Assumptions'!$F$22*F21+MIN(F23*'Assumptions'!$F$22*F21,MAX(0,'Operating Forecast'!F15*'DCF'!F16))*'Assumptions'!$F$14</x:f>
        <x:v>-1046.353237021956</x:v>
      </x:c>
      <x:c r="G24" s="195" t="n">
        <x:f aca="0">-G23*'Assumptions'!$F$22*G21+MIN(G23*'Assumptions'!$F$22*G21,MAX(0,'Operating Forecast'!G15*'DCF'!G16))*'Assumptions'!$F$14</x:f>
        <x:v>-573.3050749920914</x:v>
      </x:c>
      <x:c r="H24" s="88"/>
      <x:c r="I24" s="88"/>
      <x:c r="J24" s="88"/>
    </x:row>
    <x:row r="25" ht="19" hidden="0" customHeight="1">
      <x:c r="A25" s="88"/>
      <x:c r="B25" s="88" t="str">
        <x:v>Cash available after interest</x:v>
      </x:c>
      <x:c r="C25" s="142" t="n">
        <x:f aca="0">C22+C24</x:f>
        <x:v>2967.143921019666</x:v>
      </x:c>
      <x:c r="D25" s="142" t="n">
        <x:f aca="0">D22+D24</x:f>
        <x:v>8618.081079912812</x:v>
      </x:c>
      <x:c r="E25" s="142" t="n">
        <x:f aca="0">E22+E24</x:f>
        <x:v>9796.0984706932</x:v>
      </x:c>
      <x:c r="F25" s="142" t="n">
        <x:f aca="0">F22+F24</x:f>
        <x:v>11097.904094542278</x:v>
      </x:c>
      <x:c r="G25" s="142" t="n">
        <x:f aca="0">G22+G24</x:f>
        <x:v>11757.775252513225</x:v>
      </x:c>
      <x:c r="H25" s="88"/>
      <x:c r="I25" s="88"/>
      <x:c r="J25" s="88"/>
    </x:row>
    <x:row r="26" ht="19" hidden="0" customHeight="1">
      <x:c r="A26" s="88"/>
      <x:c r="B26" s="111" t="str">
        <x:v>Debt repayment</x:v>
      </x:c>
      <x:c r="C26" s="145" t="n">
        <x:f aca="0">MIN(C23,MAX(0,C25))</x:f>
        <x:v>2967.143921019666</x:v>
      </x:c>
      <x:c r="D26" s="145" t="n">
        <x:f aca="0">MIN(D23,MAX(0,D25))</x:f>
        <x:v>8618.081079912812</x:v>
      </x:c>
      <x:c r="E26" s="145" t="n">
        <x:f aca="0">MIN(E23,MAX(0,E25))</x:f>
        <x:v>9796.0984706932</x:v>
      </x:c>
      <x:c r="F26" s="145" t="n">
        <x:f aca="0">MIN(F23,MAX(0,F25))</x:f>
        <x:v>11097.904094542278</x:v>
      </x:c>
      <x:c r="G26" s="145" t="n">
        <x:f aca="0">MIN(G23,MAX(0,G25))</x:f>
        <x:v>11757.775252513225</x:v>
      </x:c>
      <x:c r="H26" s="88"/>
      <x:c r="I26" s="88"/>
      <x:c r="J26" s="88"/>
    </x:row>
    <x:row r="27" ht="19" hidden="0" customHeight="1">
      <x:c r="A27" s="88"/>
      <x:c r="B27" s="88" t="str">
        <x:v>Funding shortfall / new draw needed</x:v>
      </x:c>
      <x:c r="C27" s="98" t="n">
        <x:f>MAX(0,-C25)</x:f>
        <x:v>0</x:v>
      </x:c>
      <x:c r="D27" s="98" t="n">
        <x:f>MAX(0,-D25)</x:f>
        <x:v>0</x:v>
      </x:c>
      <x:c r="E27" s="98" t="n">
        <x:f>MAX(0,-E25)</x:f>
        <x:v>0</x:v>
      </x:c>
      <x:c r="F27" s="98" t="n">
        <x:f>MAX(0,-F25)</x:f>
        <x:v>0</x:v>
      </x:c>
      <x:c r="G27" s="98" t="n">
        <x:f>MAX(0,-G25)</x:f>
        <x:v>0</x:v>
      </x:c>
      <x:c r="H27" s="88"/>
      <x:c r="I27" s="88"/>
      <x:c r="J27" s="88"/>
    </x:row>
    <x:row r="28" ht="19" hidden="0" customHeight="1">
      <x:c r="A28" s="111"/>
      <x:c r="B28" s="111" t="str">
        <x:v>Ending debt</x:v>
      </x:c>
      <x:c r="C28" s="188" t="n">
        <x:f>C23-C26+C27</x:f>
        <x:v>42962.05607898034</x:v>
      </x:c>
      <x:c r="D28" s="188" t="n">
        <x:f>D23-D26+D27</x:f>
        <x:v>34343.974999067534</x:v>
      </x:c>
      <x:c r="E28" s="188" t="n">
        <x:f>E23-E26+E27</x:f>
        <x:v>24547.876528374334</x:v>
      </x:c>
      <x:c r="F28" s="188" t="n">
        <x:f>F23-F26+F27</x:f>
        <x:v>13449.972433832056</x:v>
      </x:c>
      <x:c r="G28" s="188" t="n">
        <x:f>G23-G26+G27</x:f>
        <x:v>1692.1971813188302</x:v>
      </x:c>
      <x:c r="H28" s="111"/>
      <x:c r="I28" s="111"/>
      <x:c r="J28" s="111"/>
    </x:row>
    <x:row r="29" ht="19" hidden="0" customHeight="1">
      <x:c r="A29" s="88"/>
      <x:c r="B29" s="88" t="str">
        <x:v>Excess cash retained</x:v>
      </x:c>
      <x:c r="C29" s="142" t="n">
        <x:f>MAX(0,C25-C26)</x:f>
        <x:v>0</x:v>
      </x:c>
      <x:c r="D29" s="98" t="n">
        <x:f>MAX(0,D25-D26)</x:f>
        <x:v>0</x:v>
      </x:c>
      <x:c r="E29" s="258" t="n">
        <x:f>MAX(0,E25-E26)</x:f>
        <x:v>0</x:v>
      </x:c>
      <x:c r="F29" s="98" t="n">
        <x:f>MAX(0,F25-F26)</x:f>
        <x:v>0</x:v>
      </x:c>
      <x:c r="G29" s="98" t="n">
        <x:f>MAX(0,G25-G26)</x:f>
        <x:v>0</x:v>
      </x:c>
      <x:c r="H29" s="88"/>
      <x:c r="I29" s="88"/>
      <x:c r="J29" s="88"/>
    </x:row>
    <x:row r="30" ht="19" hidden="0" customHeight="1">
      <x:c r="A30" s="88"/>
      <x:c r="B30" s="88" t="str">
        <x:v>Cumulative excess cash</x:v>
      </x:c>
      <x:c r="C30" s="142" t="n">
        <x:f aca="0">C29</x:f>
        <x:v>0</x:v>
      </x:c>
      <x:c r="D30" s="98" t="n">
        <x:f>C30+D29</x:f>
        <x:v>0</x:v>
      </x:c>
      <x:c r="E30" s="98" t="n">
        <x:f>D30+E29</x:f>
        <x:v>0</x:v>
      </x:c>
      <x:c r="F30" s="98" t="n">
        <x:f>E30+F29</x:f>
        <x:v>0</x:v>
      </x:c>
      <x:c r="G30" s="98" t="n">
        <x:f>F30+G29</x:f>
        <x:v>0</x:v>
      </x:c>
      <x:c r="H30" s="88"/>
      <x:c r="I30" s="88"/>
      <x:c r="J30" s="88"/>
    </x:row>
    <x:row r="31" ht="19" hidden="0" customHeight="1">
      <x:c r="A31" s="88"/>
      <x:c r="B31" s="88" t="str">
        <x:v>EBITDA / pretax cash interest</x:v>
      </x:c>
      <x:c r="C31" s="232" t="n">
        <x:f aca="0">IF(C23*'Assumptions'!$F$22*C21&gt;0,'Operating Forecast'!C20*'DCF'!C16/(C23*'Assumptions'!$F$22*C21),999)</x:f>
        <x:v>4.480553464158051</x:v>
      </x:c>
      <x:c r="D31" s="246" t="n">
        <x:f>IF(D23*'Assumptions'!$F$22*D21&gt;0,'Operating Forecast'!D20*'DCF'!D16/(D23*'Assumptions'!$F$22*D21),999)</x:f>
        <x:v>5.2434454073202295</x:v>
      </x:c>
      <x:c r="E31" s="246" t="n">
        <x:f>IF(E23*'Assumptions'!$F$22*E21&gt;0,'Operating Forecast'!E20*'DCF'!E16/(E23*'Assumptions'!$F$22*E21),999)</x:f>
        <x:v>7.066697854211344</x:v>
      </x:c>
      <x:c r="F31" s="246" t="n">
        <x:f>IF(F23*'Assumptions'!$F$22*F21&gt;0,'Operating Forecast'!F20*'DCF'!F16/(F23*'Assumptions'!$F$22*F21),999)</x:f>
        <x:v>10.71213924710667</x:v>
      </x:c>
      <x:c r="G31" s="246" t="n">
        <x:f>IF(G23*'Assumptions'!$F$22*G21&gt;0,'Operating Forecast'!G20*'DCF'!G16/(G23*'Assumptions'!$F$22*G21),999)</x:f>
        <x:v>20.095894467855192</x:v>
      </x:c>
      <x:c r="H31" s="88"/>
      <x:c r="I31" s="88"/>
      <x:c r="J31" s="88"/>
    </x:row>
    <x:row r="32" ht="19" hidden="0" customHeight="1">
      <x:c r="A32" s="88"/>
      <x:c r="B32" s="111"/>
      <x:c r="C32" s="119"/>
      <x:c r="D32" s="88"/>
      <x:c r="E32" s="88"/>
      <x:c r="F32" s="88"/>
      <x:c r="G32" s="88"/>
      <x:c r="H32" s="88"/>
      <x:c r="I32" s="88"/>
      <x:c r="J32" s="88"/>
    </x:row>
    <x:row r="33" ht="19" hidden="0" customHeight="1">
      <x:c r="A33" s="88"/>
      <x:c r="B33" s="111"/>
      <x:c r="C33" s="253"/>
      <x:c r="D33" s="88"/>
      <x:c r="E33" s="88"/>
      <x:c r="F33" s="88"/>
      <x:c r="G33" s="88"/>
      <x:c r="H33" s="88"/>
      <x:c r="I33" s="88"/>
      <x:c r="J33" s="88"/>
    </x:row>
    <x:row r="34" ht="19" hidden="0" customHeight="1">
      <x:c r="A34" s="88"/>
      <x:c r="B34" s="111" t="str">
        <x:v>Exit EBITDA</x:v>
      </x:c>
      <x:c r="C34" s="192" t="n">
        <x:f aca="0">'Operating Forecast'!G20</x:f>
        <x:v>14865.907464421773</x:v>
      </x:c>
      <x:c r="D34" s="88"/>
      <x:c r="E34" s="88"/>
      <x:c r="F34" s="88"/>
      <x:c r="G34" s="88"/>
      <x:c r="H34" s="88"/>
      <x:c r="I34" s="88"/>
      <x:c r="J34" s="88"/>
    </x:row>
    <x:row r="35" ht="19" hidden="0" customHeight="1">
      <x:c r="A35" s="88"/>
      <x:c r="B35" s="88" t="str">
        <x:v>Exit multiple</x:v>
      </x:c>
      <x:c r="C35" s="246" t="n">
        <x:f>'Assumptions'!$C$32</x:f>
        <x:v>16</x:v>
      </x:c>
      <x:c r="D35" s="88"/>
      <x:c r="E35" s="88"/>
      <x:c r="F35" s="88"/>
      <x:c r="G35" s="88"/>
      <x:c r="H35" s="88"/>
      <x:c r="I35" s="88"/>
      <x:c r="J35" s="88"/>
    </x:row>
    <x:row r="36" ht="19" hidden="0" customHeight="1">
      <x:c r="A36" s="111"/>
      <x:c r="B36" s="111" t="str">
        <x:v>Exit enterprise value</x:v>
      </x:c>
      <x:c r="C36" s="188" t="n">
        <x:f>C34*C35</x:f>
        <x:v>237854.51943074836</x:v>
      </x:c>
      <x:c r="D36" s="111"/>
      <x:c r="E36" s="111"/>
      <x:c r="F36" s="111"/>
      <x:c r="G36" s="111"/>
      <x:c r="H36" s="111"/>
      <x:c r="I36" s="111"/>
      <x:c r="J36" s="111"/>
    </x:row>
    <x:row r="37" ht="19" hidden="0" customHeight="1">
      <x:c r="A37" s="88"/>
      <x:c r="B37" s="88" t="str">
        <x:v>Exit debt</x:v>
      </x:c>
      <x:c r="C37" s="142" t="n">
        <x:f>G28</x:f>
        <x:v>1692.1971813188302</x:v>
      </x:c>
      <x:c r="D37" s="88"/>
      <x:c r="E37" s="88"/>
      <x:c r="F37" s="88"/>
      <x:c r="G37" s="88"/>
      <x:c r="H37" s="88"/>
      <x:c r="I37" s="88"/>
      <x:c r="J37" s="88"/>
    </x:row>
    <x:row r="38" ht="19" hidden="0" customHeight="1">
      <x:c r="A38" s="88"/>
      <x:c r="B38" s="88" t="str">
        <x:v>Exit surplus cash</x:v>
      </x:c>
      <x:c r="C38" s="142" t="n">
        <x:f aca="0">G30</x:f>
        <x:v>0</x:v>
      </x:c>
      <x:c r="D38" s="88"/>
      <x:c r="E38" s="88"/>
      <x:c r="F38" s="88"/>
      <x:c r="G38" s="88"/>
      <x:c r="H38" s="88"/>
      <x:c r="I38" s="88"/>
      <x:c r="J38" s="88"/>
    </x:row>
    <x:row r="39" ht="19" hidden="0" customHeight="1">
      <x:c r="A39" s="88"/>
      <x:c r="B39" s="88" t="str">
        <x:v>Exit equity proceeds</x:v>
      </x:c>
      <x:c r="C39" s="142" t="n">
        <x:f aca="0">C36-C37+C38</x:f>
        <x:v>236162.32224942953</x:v>
      </x:c>
      <x:c r="D39" s="88"/>
      <x:c r="E39" s="88"/>
      <x:c r="F39" s="88"/>
      <x:c r="G39" s="88"/>
      <x:c r="H39" s="88"/>
      <x:c r="I39" s="88"/>
      <x:c r="J39" s="88"/>
    </x:row>
    <x:row r="40" ht="19" hidden="0" customHeight="1">
      <x:c r="A40" s="88"/>
      <x:c r="B40" s="111" t="str">
        <x:v>Hold length in years</x:v>
      </x:c>
      <x:c r="C40" s="225" t="n">
        <x:f aca="0">'DCF'!G14</x:f>
        <x:v>4.410958904109589</x:v>
      </x:c>
      <x:c r="D40" s="88"/>
      <x:c r="E40" s="125"/>
      <x:c r="F40" s="88"/>
      <x:c r="G40" s="88"/>
      <x:c r="H40" s="88"/>
      <x:c r="I40" s="88"/>
      <x:c r="J40" s="88"/>
    </x:row>
    <x:row r="41" ht="19" hidden="0" customHeight="1">
      <x:c r="A41" s="88"/>
      <x:c r="B41" s="88" t="str">
        <x:v>Money multiple</x:v>
      </x:c>
      <x:c r="C41" s="158" t="n">
        <x:f>IF(C17&gt;0,C39/C17,0)</x:f>
        <x:v>0.9191735368354146</x:v>
      </x:c>
      <x:c r="D41" s="88"/>
      <x:c r="E41" s="88"/>
      <x:c r="F41" s="88"/>
      <x:c r="G41" s="88"/>
      <x:c r="H41" s="88"/>
      <x:c r="I41" s="88"/>
      <x:c r="J41" s="88"/>
    </x:row>
    <x:row r="42" ht="19" hidden="0" customHeight="1">
      <x:c r="A42" s="88"/>
      <x:c r="B42" s="125" t="str">
        <x:v>Annualized return</x:v>
      </x:c>
      <x:c r="C42" s="101" t="n">
        <x:f>IF(AND(C17&gt;0,C39&gt;0,C40&gt;0),(C39/C17)^(1/C40)-1,0)</x:f>
        <x:v>-0.018925651789483355</x:v>
      </x:c>
      <x:c r="D42" s="88"/>
      <x:c r="E42" s="88"/>
      <x:c r="F42" s="88"/>
      <x:c r="G42" s="88"/>
      <x:c r="H42" s="88"/>
      <x:c r="I42" s="88"/>
      <x:c r="J42" s="88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</x:row>
    <x:row r="44" ht="19" hidden="0" customHeight="1">
      <x:c r="A44" s="88"/>
      <x:c r="B44" s="88"/>
      <x:c r="C44" s="88"/>
      <x:c r="D44" s="88"/>
      <x:c r="E44" s="88"/>
      <x:c r="F44" s="88"/>
      <x:c r="G44" s="88"/>
      <x:c r="H44" s="88"/>
      <x:c r="I44" s="88"/>
      <x:c r="J44" s="88"/>
    </x:row>
    <x:row r="45" ht="19" hidden="0" customHeight="1">
      <x:c r="A45" s="88"/>
      <x:c r="B45" s="88" t="str">
        <x:v>Required annual return</x:v>
      </x:c>
      <x:c r="C45" s="231" t="n">
        <x:f>'Assumptions'!$C$42</x:f>
        <x:v>0.2</x:v>
      </x:c>
      <x:c r="D45" s="88"/>
      <x:c r="E45" s="88"/>
      <x:c r="F45" s="88"/>
      <x:c r="G45" s="88"/>
      <x:c r="H45" s="88"/>
      <x:c r="I45" s="88"/>
      <x:c r="J45" s="88"/>
    </x:row>
    <x:row r="46" ht="19" hidden="0" customHeight="1">
      <x:c r="A46" s="88"/>
      <x:c r="B46" s="88" t="str">
        <x:v>Maximum sponsor equity at hurdle</x:v>
      </x:c>
      <x:c r="C46" s="98" t="n">
        <x:f>MAX(0,C39)/(1+C45)^C40</x:f>
        <x:v>105668.46250557025</x:v>
      </x:c>
      <x:c r="D46" s="88"/>
      <x:c r="E46" s="88"/>
      <x:c r="F46" s="88"/>
      <x:c r="G46" s="88"/>
      <x:c r="H46" s="88"/>
      <x:c r="I46" s="88"/>
      <x:c r="J46" s="88"/>
    </x:row>
    <x:row r="47" ht="19" hidden="0" customHeight="1">
      <x:c r="A47" s="88"/>
      <x:c r="B47" s="88" t="str">
        <x:v>Maximum entry EV (fees solved)</x:v>
      </x:c>
      <x:c r="C47" s="98" t="n">
        <x:f>(C46+C14)/(1+C15)</x:f>
        <x:v>148625.15931918652</x:v>
      </x:c>
      <x:c r="D47" s="88"/>
      <x:c r="E47" s="88"/>
      <x:c r="F47" s="88"/>
      <x:c r="G47" s="88"/>
      <x:c r="H47" s="88"/>
      <x:c r="I47" s="88"/>
      <x:c r="J47" s="88"/>
    </x:row>
    <x:row r="48" ht="19" hidden="0" customHeight="1">
      <x:c r="A48" s="88"/>
      <x:c r="B48" s="88" t="str">
        <x:v>Maximum equity purchase price</x:v>
      </x:c>
      <x:c r="C48" s="98" t="n">
        <x:f>C47-C8</x:f>
        <x:v>117740.15931918652</x:v>
      </x:c>
      <x:c r="D48" s="88"/>
      <x:c r="E48" s="88"/>
      <x:c r="F48" s="88"/>
      <x:c r="G48" s="88"/>
      <x:c r="H48" s="88"/>
      <x:c r="I48" s="88"/>
      <x:c r="J48" s="88"/>
    </x:row>
    <x:row r="49" ht="19" hidden="0" customHeight="1">
      <x:c r="A49" s="88"/>
      <x:c r="B49" s="88" t="str">
        <x:v>Maximum offer per diluted share</x:v>
      </x:c>
      <x:c r="C49" s="233" t="n">
        <x:f>IF('Verified Inputs'!$C$8&gt;0,C48/'Verified Inputs'!$C$8,0)</x:f>
        <x:v>143.41066908548908</x:v>
      </x:c>
      <x:c r="D49" s="88"/>
      <x:c r="E49" s="88"/>
      <x:c r="F49" s="88"/>
      <x:c r="G49" s="88"/>
      <x:c r="H49" s="88"/>
      <x:c r="I49" s="88"/>
      <x:c r="J49" s="88"/>
    </x:row>
    <x:row r="50" ht="19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</x:row>
    <x:row r="51" ht="19" hidden="0" customHeight="1">
      <x:c r="A51" s="88"/>
      <x:c r="B51" s="88"/>
      <x:c r="C51" s="88"/>
      <x:c r="D51" s="88"/>
      <x:c r="E51" s="88"/>
      <x:c r="F51" s="88"/>
      <x:c r="G51" s="88"/>
      <x:c r="H51" s="88"/>
      <x:c r="I51" s="88"/>
      <x:c r="J51" s="88"/>
    </x:row>
    <x:row r="52" ht="19" hidden="0" customHeight="1">
      <x:c r="A52" s="88"/>
      <x:c r="B52" s="88" t="str">
        <x:v>Buyer-created synergy credited</x:v>
      </x:c>
      <x:c r="C52" s="98" t="n">
        <x:v>0</x:v>
      </x:c>
      <x:c r="D52" s="88"/>
      <x:c r="E52" s="88"/>
      <x:c r="F52" s="88"/>
      <x:c r="G52" s="88"/>
      <x:c r="H52" s="88"/>
      <x:c r="I52" s="88"/>
      <x:c r="J52" s="88"/>
    </x:row>
    <x:row r="53" ht="19" hidden="0" customHeight="1">
      <x:c r="A53" s="88"/>
      <x:c r="B53" s="88" t="str">
        <x:v>Lowest interest coverage</x:v>
      </x:c>
      <x:c r="C53" s="158" t="n">
        <x:f>MIN(C31:G31)</x:f>
        <x:v>4.480553464158051</x:v>
      </x:c>
      <x:c r="D53" s="88"/>
      <x:c r="E53" s="88"/>
      <x:c r="F53" s="88"/>
      <x:c r="G53" s="88"/>
      <x:c r="H53" s="88"/>
      <x:c r="I53" s="88"/>
      <x:c r="J53" s="88"/>
    </x:row>
    <x:row r="54" ht="19" hidden="0" customHeight="1">
      <x:c r="A54" s="88"/>
      <x:c r="B54" s="88" t="str">
        <x:v>New financing needed in forecast</x:v>
      </x:c>
      <x:c r="C54" s="98" t="n">
        <x:f>SUM(C27:G27)</x:f>
        <x:v>0</x:v>
      </x:c>
      <x:c r="D54" s="88"/>
      <x:c r="E54" s="88"/>
      <x:c r="F54" s="88"/>
      <x:c r="G54" s="88"/>
      <x:c r="H54" s="88"/>
      <x:c r="I54" s="88"/>
      <x:c r="J54" s="88"/>
    </x:row>
    <x:row r="55" ht="19" hidden="0" customHeight="1">
      <x:c r="A55" s="88"/>
      <x:c r="B55" s="88"/>
      <x:c r="C55" s="88"/>
      <x:c r="D55" s="88"/>
      <x:c r="E55" s="88"/>
      <x:c r="F55" s="88"/>
      <x:c r="G55" s="88"/>
      <x:c r="H55" s="88"/>
      <x:c r="I55" s="88"/>
      <x:c r="J55" s="88"/>
    </x:row>
    <x:row r="56" ht="19" hidden="0" customHeight="1">
      <x:c r="A56" s="88"/>
      <x:c r="B56" s="88"/>
      <x:c r="C56" s="88"/>
      <x:c r="D56" s="88"/>
      <x:c r="E56" s="88"/>
      <x:c r="F56" s="88"/>
      <x:c r="G56" s="88"/>
      <x:c r="H56" s="88"/>
      <x:c r="I56" s="88"/>
      <x:c r="J56" s="88"/>
    </x:row>
    <x:row r="57" ht="19" hidden="0" customHeight="1">
      <x:c r="A57" s="88"/>
      <x:c r="B57" s="107" t="str">
        <x:v>Financing assumptions: interest is based on beginning debt. Cash first repays debt; the remainder is retained through exit. Required new draws identify additional financing needs. Losses receive no immediate tax benefit.</x:v>
      </x:c>
      <x:c r="C57" s="107"/>
      <x:c r="D57" s="107"/>
      <x:c r="E57" s="107"/>
      <x:c r="F57" s="107"/>
      <x:c r="G57" s="107"/>
      <x:c r="H57" s="107"/>
      <x:c r="I57" s="107"/>
      <x:c r="J57" s="107"/>
    </x:row>
    <x:row r="58" ht="19" hidden="0" customHeight="1">
      <x:c r="A58" s="88"/>
      <x:c r="B58" s="107"/>
      <x:c r="C58" s="107"/>
      <x:c r="D58" s="107"/>
      <x:c r="E58" s="107"/>
      <x:c r="F58" s="107"/>
      <x:c r="G58" s="107"/>
      <x:c r="H58" s="107"/>
      <x:c r="I58" s="107"/>
      <x:c r="J58" s="107"/>
    </x:row>
    <x:row r="59" ht="19" hidden="0" customHeight="1">
      <x:c r="A59" s="88"/>
      <x:c r="B59" s="107"/>
      <x:c r="C59" s="107"/>
      <x:c r="D59" s="107"/>
      <x:c r="E59" s="107"/>
      <x:c r="F59" s="107"/>
      <x:c r="G59" s="107"/>
      <x:c r="H59" s="107"/>
      <x:c r="I59" s="107"/>
      <x:c r="J59" s="107"/>
    </x:row>
    <x:row r="60" ht="19" hidden="0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</x:row>
    <x:row r="61" ht="19" hidden="0" customHeight="1">
      <x:c r="A61" s="88"/>
      <x:c r="B61" s="107" t="str">
        <x:v>Test revenue decline and margin compression before setting a price ceiling. Buyer-created synergies are separate; any synergy case should include execution costs, timing and risk.</x:v>
      </x:c>
      <x:c r="C61" s="107"/>
      <x:c r="D61" s="107"/>
      <x:c r="E61" s="107"/>
      <x:c r="F61" s="107"/>
      <x:c r="G61" s="107"/>
      <x:c r="H61" s="107"/>
      <x:c r="I61" s="107"/>
      <x:c r="J61" s="107"/>
    </x:row>
    <x:row r="62" ht="19" hidden="0" customHeight="1">
      <x:c r="A62" s="88"/>
      <x:c r="B62" s="107"/>
      <x:c r="C62" s="107"/>
      <x:c r="D62" s="107"/>
      <x:c r="E62" s="107"/>
      <x:c r="F62" s="107"/>
      <x:c r="G62" s="107"/>
      <x:c r="H62" s="107"/>
      <x:c r="I62" s="107"/>
      <x:c r="J62" s="107"/>
    </x:row>
    <x:row r="63" ht="19" hidden="0" customHeight="1">
      <x:c r="A63" s="88"/>
      <x:c r="B63" s="107"/>
      <x:c r="C63" s="107"/>
      <x:c r="D63" s="107"/>
      <x:c r="E63" s="107"/>
      <x:c r="F63" s="107"/>
      <x:c r="G63" s="107"/>
      <x:c r="H63" s="107"/>
      <x:c r="I63" s="107"/>
      <x:c r="J63" s="107"/>
    </x:row>
    <x:row r="64" ht="19" hidden="0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J1"/>
    <x:mergeCell ref="A2:J3"/>
    <x:mergeCell ref="B57:J59"/>
    <x:mergeCell ref="B61:J63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SENSITIVITIES | WHAT CHANGES VALUE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Each cell recalculates value. Invalid WACC / growth combinations are labeled INVALID rather than shown as a price.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  <x:c r="K3" s="2"/>
      <x:c r="L3" s="2"/>
    </x:row>
    <x:row r="4" ht="24" hidden="0" customHeight="1">
      <x:c r="A4" s="111"/>
      <x:c r="B4" s="105" t="str">
        <x:v>Value per share: WACC × terminal growth</x:v>
      </x:c>
      <x:c r="C4" s="105"/>
      <x:c r="D4" s="105"/>
      <x:c r="E4" s="105"/>
      <x:c r="F4" s="105"/>
      <x:c r="G4" s="105"/>
      <x:c r="H4" s="105"/>
      <x:c r="I4" s="105"/>
      <x:c r="J4" s="105"/>
      <x:c r="K4" s="2"/>
      <x:c r="L4" s="2"/>
    </x:row>
    <x:row r="5" ht="19" hidden="0" customHeight="1">
      <x:c r="A5" s="88"/>
      <x:c r="B5" s="114" t="str">
        <x:v>WACC / growth</x:v>
      </x:c>
      <x:c r="C5" s="263" t="n">
        <x:v>0.019999999999999997</x:v>
      </x:c>
      <x:c r="D5" s="263" t="n">
        <x:v>0.024999999999999998</x:v>
      </x:c>
      <x:c r="E5" s="263" t="n">
        <x:v>0.03</x:v>
      </x:c>
      <x:c r="F5" s="263" t="n">
        <x:v>0.034999999999999996</x:v>
      </x:c>
      <x:c r="G5" s="263" t="n">
        <x:v>0.04</x:v>
      </x:c>
      <x:c r="H5" s="88"/>
      <x:c r="I5" s="88"/>
      <x:c r="J5" s="88"/>
      <x:c r="K5" s="2"/>
      <x:c r="L5" s="2"/>
    </x:row>
    <x:row r="6" ht="19" hidden="0" customHeight="1">
      <x:c r="A6" s="88"/>
      <x:c r="B6" s="264" t="n">
        <x:f>'DCF'!$C$9+-0.02</x:f>
        <x:v>0.0727378841769483</x:v>
      </x:c>
      <x:c r="C6" s="245" t="n">
        <x:f aca="0">IF(AND('Verified Inputs'!$C$8&gt;0,$B6&gt;C$5),('DCF'!C17/(1+$B6)^'DCF'!C15+'DCF'!D17/(1+$B6)^'DCF'!D15+'DCF'!E17/(1+$B6)^'DCF'!E15+'DCF'!F17/(1+$B6)^'DCF'!F15+'DCF'!G17/(1+$B6)^'DCF'!G15+(('Operating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Forecast'!G9*C$5)/($B6-C$5))/(1+$B6)^'DCF'!G14+'Verified Inputs'!$C$60-'Verified Inputs'!$C$61+'Verified Inputs'!$C$15)/'Verified Inputs'!$C$8,"INVALID")</x:f>
        <x:v>195.7480746128594</x:v>
      </x:c>
      <x:c r="D6" s="245" t="n">
        <x:f aca="0">IF(AND('Verified Inputs'!$C$8&gt;0,$B6&gt;D$5),('DCF'!C17/(1+$B6)^'DCF'!C15+'DCF'!D17/(1+$B6)^'DCF'!D15+'DCF'!E17/(1+$B6)^'DCF'!E15+'DCF'!F17/(1+$B6)^'DCF'!F15+'DCF'!G17/(1+$B6)^'DCF'!G15+(('Operating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Forecast'!G9*D$5)/($B6-D$5))/(1+$B6)^'DCF'!G14+'Verified Inputs'!$C$60-'Verified Inputs'!$C$61+'Verified Inputs'!$C$15)/'Verified Inputs'!$C$8,"INVALID")</x:f>
        <x:v>217.63628261241968</x:v>
      </x:c>
      <x:c r="E6" s="245" t="n">
        <x:f aca="0">IF(AND('Verified Inputs'!$C$8&gt;0,$B6&gt;E$5),('DCF'!C17/(1+$B6)^'DCF'!C15+'DCF'!D17/(1+$B6)^'DCF'!D15+'DCF'!E17/(1+$B6)^'DCF'!E15+'DCF'!F17/(1+$B6)^'DCF'!F15+'DCF'!G17/(1+$B6)^'DCF'!G15+(('Operating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Forecast'!G9*E$5)/($B6-E$5))/(1+$B6)^'DCF'!G14+'Verified Inputs'!$C$60-'Verified Inputs'!$C$61+'Verified Inputs'!$C$15)/'Verified Inputs'!$C$8,"INVALID")</x:f>
        <x:v>244.64599075666115</x:v>
      </x:c>
      <x:c r="F6" s="245" t="n">
        <x:f aca="0">IF(AND('Verified Inputs'!$C$8&gt;0,$B6&gt;F$5),('DCF'!C17/(1+$B6)^'DCF'!C15+'DCF'!D17/(1+$B6)^'DCF'!D15+'DCF'!E17/(1+$B6)^'DCF'!E15+'DCF'!F17/(1+$B6)^'DCF'!F15+'DCF'!G17/(1+$B6)^'DCF'!G15+(('Operating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Forecast'!G9*F$5)/($B6-F$5))/(1+$B6)^'DCF'!G14+'Verified Inputs'!$C$60-'Verified Inputs'!$C$61+'Verified Inputs'!$C$15)/'Verified Inputs'!$C$8,"INVALID")</x:f>
        <x:v>278.8128855671174</x:v>
      </x:c>
      <x:c r="G6" s="245" t="n">
        <x:f aca="0">IF(AND('Verified Inputs'!$C$8&gt;0,$B6&gt;G$5),('DCF'!C17/(1+$B6)^'DCF'!C15+'DCF'!D17/(1+$B6)^'DCF'!D15+'DCF'!E17/(1+$B6)^'DCF'!E15+'DCF'!F17/(1+$B6)^'DCF'!F15+'DCF'!G17/(1+$B6)^'DCF'!G15+(('Operating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Forecast'!G9*G$5)/($B6-G$5))/(1+$B6)^'DCF'!G14+'Verified Inputs'!$C$60-'Verified Inputs'!$C$61+'Verified Inputs'!$C$15)/'Verified Inputs'!$C$8,"INVALID")</x:f>
        <x:v>323.41628098518305</x:v>
      </x:c>
      <x:c r="H6" s="88"/>
      <x:c r="I6" s="88"/>
      <x:c r="J6" s="88"/>
      <x:c r="K6" s="2"/>
      <x:c r="L6" s="2"/>
    </x:row>
    <x:row r="7" ht="19" hidden="0" customHeight="1">
      <x:c r="A7" s="88"/>
      <x:c r="B7" s="264" t="n">
        <x:f>'DCF'!$C$9+-0.01</x:f>
        <x:v>0.08273788417694831</x:v>
      </x:c>
      <x:c r="C7" s="245" t="n">
        <x:f aca="0">IF(AND('Verified Inputs'!$C$8&gt;0,$B7&gt;C$5),('DCF'!C17/(1+$B7)^'DCF'!C15+'DCF'!D17/(1+$B7)^'DCF'!D15+'DCF'!E17/(1+$B7)^'DCF'!E15+'DCF'!F17/(1+$B7)^'DCF'!F15+'DCF'!G17/(1+$B7)^'DCF'!G15+(('Operating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Forecast'!G9*C$5)/($B7-C$5))/(1+$B7)^'DCF'!G14+'Verified Inputs'!$C$60-'Verified Inputs'!$C$61+'Verified Inputs'!$C$15)/'Verified Inputs'!$C$8,"INVALID")</x:f>
        <x:v>159.66494056134886</x:v>
      </x:c>
      <x:c r="D7" s="245" t="n">
        <x:f aca="0">IF(AND('Verified Inputs'!$C$8&gt;0,$B7&gt;D$5),('DCF'!C17/(1+$B7)^'DCF'!C15+'DCF'!D17/(1+$B7)^'DCF'!D15+'DCF'!E17/(1+$B7)^'DCF'!E15+'DCF'!F17/(1+$B7)^'DCF'!F15+'DCF'!G17/(1+$B7)^'DCF'!G15+(('Operating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Forecast'!G9*D$5)/($B7-D$5))/(1+$B7)^'DCF'!G14+'Verified Inputs'!$C$60-'Verified Inputs'!$C$61+'Verified Inputs'!$C$15)/'Verified Inputs'!$C$8,"INVALID")</x:f>
        <x:v>174.6325093996565</x:v>
      </x:c>
      <x:c r="E7" s="245" t="n">
        <x:f aca="0">IF(AND('Verified Inputs'!$C$8&gt;0,$B7&gt;E$5),('DCF'!C17/(1+$B7)^'DCF'!C15+'DCF'!D17/(1+$B7)^'DCF'!D15+'DCF'!E17/(1+$B7)^'DCF'!E15+'DCF'!F17/(1+$B7)^'DCF'!F15+'DCF'!G17/(1+$B7)^'DCF'!G15+(('Operating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Forecast'!G9*E$5)/($B7-E$5))/(1+$B7)^'DCF'!G14+'Verified Inputs'!$C$60-'Verified Inputs'!$C$61+'Verified Inputs'!$C$15)/'Verified Inputs'!$C$8,"INVALID")</x:f>
        <x:v>192.43818391321048</x:v>
      </x:c>
      <x:c r="F7" s="245" t="n">
        <x:f aca="0">IF(AND('Verified Inputs'!$C$8&gt;0,$B7&gt;F$5),('DCF'!C17/(1+$B7)^'DCF'!C15+'DCF'!D17/(1+$B7)^'DCF'!D15+'DCF'!E17/(1+$B7)^'DCF'!E15+'DCF'!F17/(1+$B7)^'DCF'!F15+'DCF'!G17/(1+$B7)^'DCF'!G15+(('Operating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Forecast'!G9*F$5)/($B7-F$5))/(1+$B7)^'DCF'!G14+'Verified Inputs'!$C$60-'Verified Inputs'!$C$61+'Verified Inputs'!$C$15)/'Verified Inputs'!$C$8,"INVALID")</x:f>
        <x:v>213.97374189783616</x:v>
      </x:c>
      <x:c r="G7" s="245" t="n">
        <x:f aca="0">IF(AND('Verified Inputs'!$C$8&gt;0,$B7&gt;G$5),('DCF'!C17/(1+$B7)^'DCF'!C15+'DCF'!D17/(1+$B7)^'DCF'!D15+'DCF'!E17/(1+$B7)^'DCF'!E15+'DCF'!F17/(1+$B7)^'DCF'!F15+'DCF'!G17/(1+$B7)^'DCF'!G15+(('Operating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Forecast'!G9*G$5)/($B7-G$5))/(1+$B7)^'DCF'!G14+'Verified Inputs'!$C$60-'Verified Inputs'!$C$61+'Verified Inputs'!$C$15)/'Verified Inputs'!$C$8,"INVALID")</x:f>
        <x:v>240.5482854100238</x:v>
      </x:c>
      <x:c r="H7" s="88"/>
      <x:c r="I7" s="88"/>
      <x:c r="J7" s="88"/>
      <x:c r="K7" s="2"/>
      <x:c r="L7" s="2"/>
    </x:row>
    <x:row r="8" ht="19" hidden="0" customHeight="1">
      <x:c r="A8" s="88"/>
      <x:c r="B8" s="264" t="n">
        <x:f>'DCF'!$C$9+0</x:f>
        <x:v>0.09273788417694831</x:v>
      </x:c>
      <x:c r="C8" s="245" t="n">
        <x:f aca="0">IF(AND('Verified Inputs'!$C$8&gt;0,$B8&gt;C$5),('DCF'!C17/(1+$B8)^'DCF'!C15+'DCF'!D17/(1+$B8)^'DCF'!D15+'DCF'!E17/(1+$B8)^'DCF'!E15+'DCF'!F17/(1+$B8)^'DCF'!F15+'DCF'!G17/(1+$B8)^'DCF'!G15+(('Operating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Forecast'!G9*C$5)/($B8-C$5))/(1+$B8)^'DCF'!G14+'Verified Inputs'!$C$60-'Verified Inputs'!$C$61+'Verified Inputs'!$C$15)/'Verified Inputs'!$C$8,"INVALID")</x:f>
        <x:v>133.5092242137018</x:v>
      </x:c>
      <x:c r="D8" s="245" t="n">
        <x:f aca="0">IF(AND('Verified Inputs'!$C$8&gt;0,$B8&gt;D$5),('DCF'!C17/(1+$B8)^'DCF'!C15+'DCF'!D17/(1+$B8)^'DCF'!D15+'DCF'!E17/(1+$B8)^'DCF'!E15+'DCF'!F17/(1+$B8)^'DCF'!F15+'DCF'!G17/(1+$B8)^'DCF'!G15+(('Operating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Forecast'!G9*D$5)/($B8-D$5))/(1+$B8)^'DCF'!G14+'Verified Inputs'!$C$60-'Verified Inputs'!$C$61+'Verified Inputs'!$C$15)/'Verified Inputs'!$C$8,"INVALID")</x:f>
        <x:v>144.33354750222642</x:v>
      </x:c>
      <x:c r="E8" s="245" t="n">
        <x:f aca="0">IF(AND('Verified Inputs'!$C$8&gt;0,$B8&gt;E$5),('DCF'!C17/(1+$B8)^'DCF'!C15+'DCF'!D17/(1+$B8)^'DCF'!D15+'DCF'!E17/(1+$B8)^'DCF'!E15+'DCF'!F17/(1+$B8)^'DCF'!F15+'DCF'!G17/(1+$B8)^'DCF'!G15+(('Operating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Forecast'!G9*E$5)/($B8-E$5))/(1+$B8)^'DCF'!G14+'Verified Inputs'!$C$60-'Verified Inputs'!$C$61+'Verified Inputs'!$C$15)/'Verified Inputs'!$C$8,"INVALID")</x:f>
        <x:v>156.88319567706625</x:v>
      </x:c>
      <x:c r="F8" s="245" t="n">
        <x:f aca="0">IF(AND('Verified Inputs'!$C$8&gt;0,$B8&gt;F$5),('DCF'!C17/(1+$B8)^'DCF'!C15+'DCF'!D17/(1+$B8)^'DCF'!D15+'DCF'!E17/(1+$B8)^'DCF'!E15+'DCF'!F17/(1+$B8)^'DCF'!F15+'DCF'!G17/(1+$B8)^'DCF'!G15+(('Operating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Forecast'!G9*F$5)/($B8-F$5))/(1+$B8)^'DCF'!G14+'Verified Inputs'!$C$60-'Verified Inputs'!$C$61+'Verified Inputs'!$C$15)/'Verified Inputs'!$C$8,"INVALID")</x:f>
        <x:v>171.60639911007578</x:v>
      </x:c>
      <x:c r="G8" s="245" t="n">
        <x:f aca="0">IF(AND('Verified Inputs'!$C$8&gt;0,$B8&gt;G$5),('DCF'!C17/(1+$B8)^'DCF'!C15+'DCF'!D17/(1+$B8)^'DCF'!D15+'DCF'!E17/(1+$B8)^'DCF'!E15+'DCF'!F17/(1+$B8)^'DCF'!F15+'DCF'!G17/(1+$B8)^'DCF'!G15+(('Operating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Forecast'!G9*G$5)/($B8-G$5))/(1+$B8)^'DCF'!G14+'Verified Inputs'!$C$60-'Verified Inputs'!$C$61+'Verified Inputs'!$C$15)/'Verified Inputs'!$C$8,"INVALID")</x:f>
        <x:v>189.1213723804208</x:v>
      </x:c>
      <x:c r="H8" s="88"/>
      <x:c r="I8" s="88"/>
      <x:c r="J8" s="88"/>
      <x:c r="K8" s="2"/>
      <x:c r="L8" s="2"/>
    </x:row>
    <x:row r="9" ht="19" hidden="0" customHeight="1">
      <x:c r="A9" s="88"/>
      <x:c r="B9" s="264" t="n">
        <x:f>'DCF'!$C$9+0.01</x:f>
        <x:v>0.1027378841769483</x:v>
      </x:c>
      <x:c r="C9" s="245" t="n">
        <x:f aca="0">IF(AND('Verified Inputs'!$C$8&gt;0,$B9&gt;C$5),('DCF'!C17/(1+$B9)^'DCF'!C15+'DCF'!D17/(1+$B9)^'DCF'!D15+'DCF'!E17/(1+$B9)^'DCF'!E15+'DCF'!F17/(1+$B9)^'DCF'!F15+'DCF'!G17/(1+$B9)^'DCF'!G15+(('Operating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Forecast'!G9*C$5)/($B9-C$5))/(1+$B9)^'DCF'!G14+'Verified Inputs'!$C$60-'Verified Inputs'!$C$61+'Verified Inputs'!$C$15)/'Verified Inputs'!$C$8,"INVALID")</x:f>
        <x:v>113.68005913990548</x:v>
      </x:c>
      <x:c r="D9" s="245" t="n">
        <x:f aca="0">IF(AND('Verified Inputs'!$C$8&gt;0,$B9&gt;D$5),('DCF'!C17/(1+$B9)^'DCF'!C15+'DCF'!D17/(1+$B9)^'DCF'!D15+'DCF'!E17/(1+$B9)^'DCF'!E15+'DCF'!F17/(1+$B9)^'DCF'!F15+'DCF'!G17/(1+$B9)^'DCF'!G15+(('Operating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Forecast'!G9*D$5)/($B9-D$5))/(1+$B9)^'DCF'!G14+'Verified Inputs'!$C$60-'Verified Inputs'!$C$61+'Verified Inputs'!$C$15)/'Verified Inputs'!$C$8,"INVALID")</x:f>
        <x:v>121.8350085374104</x:v>
      </x:c>
      <x:c r="E9" s="245" t="n">
        <x:f aca="0">IF(AND('Verified Inputs'!$C$8&gt;0,$B9&gt;E$5),('DCF'!C17/(1+$B9)^'DCF'!C15+'DCF'!D17/(1+$B9)^'DCF'!D15+'DCF'!E17/(1+$B9)^'DCF'!E15+'DCF'!F17/(1+$B9)^'DCF'!F15+'DCF'!G17/(1+$B9)^'DCF'!G15+(('Operating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Forecast'!G9*E$5)/($B9-E$5))/(1+$B9)^'DCF'!G14+'Verified Inputs'!$C$60-'Verified Inputs'!$C$61+'Verified Inputs'!$C$15)/'Verified Inputs'!$C$8,"INVALID")</x:f>
        <x:v>131.1110998941269</x:v>
      </x:c>
      <x:c r="F9" s="245" t="n">
        <x:f aca="0">IF(AND('Verified Inputs'!$C$8&gt;0,$B9&gt;F$5),('DCF'!C17/(1+$B9)^'DCF'!C15+'DCF'!D17/(1+$B9)^'DCF'!D15+'DCF'!E17/(1+$B9)^'DCF'!E15+'DCF'!F17/(1+$B9)^'DCF'!F15+'DCF'!G17/(1+$B9)^'DCF'!G15+(('Operating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Forecast'!G9*F$5)/($B9-F$5))/(1+$B9)^'DCF'!G14+'Verified Inputs'!$C$60-'Verified Inputs'!$C$61+'Verified Inputs'!$C$15)/'Verified Inputs'!$C$8,"INVALID")</x:f>
        <x:v>141.756600920104</x:v>
      </x:c>
      <x:c r="G9" s="245" t="n">
        <x:f aca="0">IF(AND('Verified Inputs'!$C$8&gt;0,$B9&gt;G$5),('DCF'!C17/(1+$B9)^'DCF'!C15+'DCF'!D17/(1+$B9)^'DCF'!D15+'DCF'!E17/(1+$B9)^'DCF'!E15+'DCF'!F17/(1+$B9)^'DCF'!F15+'DCF'!G17/(1+$B9)^'DCF'!G15+(('Operating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Forecast'!G9*G$5)/($B9-G$5))/(1+$B9)^'DCF'!G14+'Verified Inputs'!$C$60-'Verified Inputs'!$C$61+'Verified Inputs'!$C$15)/'Verified Inputs'!$C$8,"INVALID")</x:f>
        <x:v>154.0989237572777</x:v>
      </x:c>
      <x:c r="H9" s="88"/>
      <x:c r="I9" s="88"/>
      <x:c r="J9" s="88"/>
      <x:c r="K9" s="2"/>
      <x:c r="L9" s="2"/>
    </x:row>
    <x:row r="10" ht="19" hidden="0" customHeight="1">
      <x:c r="A10" s="88"/>
      <x:c r="B10" s="264" t="n">
        <x:f>'DCF'!$C$9+0.02</x:f>
        <x:v>0.11273788417694831</x:v>
      </x:c>
      <x:c r="C10" s="245" t="n">
        <x:f aca="0">IF(AND('Verified Inputs'!$C$8&gt;0,$B10&gt;C$5),('DCF'!C17/(1+$B10)^'DCF'!C15+'DCF'!D17/(1+$B10)^'DCF'!D15+'DCF'!E17/(1+$B10)^'DCF'!E15+'DCF'!F17/(1+$B10)^'DCF'!F15+'DCF'!G17/(1+$B10)^'DCF'!G15+(('Operating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Forecast'!G9*C$5)/($B10-C$5))/(1+$B10)^'DCF'!G14+'Verified Inputs'!$C$60-'Verified Inputs'!$C$61+'Verified Inputs'!$C$15)/'Verified Inputs'!$C$8,"INVALID")</x:f>
        <x:v>98.12983421859562</x:v>
      </x:c>
      <x:c r="D10" s="245" t="n">
        <x:f aca="0">IF(AND('Verified Inputs'!$C$8&gt;0,$B10&gt;D$5),('DCF'!C17/(1+$B10)^'DCF'!C15+'DCF'!D17/(1+$B10)^'DCF'!D15+'DCF'!E17/(1+$B10)^'DCF'!E15+'DCF'!F17/(1+$B10)^'DCF'!F15+'DCF'!G17/(1+$B10)^'DCF'!G15+(('Operating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Forecast'!G9*D$5)/($B10-D$5))/(1+$B10)^'DCF'!G14+'Verified Inputs'!$C$60-'Verified Inputs'!$C$61+'Verified Inputs'!$C$15)/'Verified Inputs'!$C$8,"INVALID")</x:f>
        <x:v>104.46856241069257</x:v>
      </x:c>
      <x:c r="E10" s="245" t="n">
        <x:f aca="0">IF(AND('Verified Inputs'!$C$8&gt;0,$B10&gt;E$5),('DCF'!C17/(1+$B10)^'DCF'!C15+'DCF'!D17/(1+$B10)^'DCF'!D15+'DCF'!E17/(1+$B10)^'DCF'!E15+'DCF'!F17/(1+$B10)^'DCF'!F15+'DCF'!G17/(1+$B10)^'DCF'!G15+(('Operating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Forecast'!G9*E$5)/($B10-E$5))/(1+$B10)^'DCF'!G14+'Verified Inputs'!$C$60-'Verified Inputs'!$C$61+'Verified Inputs'!$C$15)/'Verified Inputs'!$C$8,"INVALID")</x:f>
        <x:v>111.57341222351418</x:v>
      </x:c>
      <x:c r="F10" s="245" t="n">
        <x:f aca="0">IF(AND('Verified Inputs'!$C$8&gt;0,$B10&gt;F$5),('DCF'!C17/(1+$B10)^'DCF'!C15+'DCF'!D17/(1+$B10)^'DCF'!D15+'DCF'!E17/(1+$B10)^'DCF'!E15+'DCF'!F17/(1+$B10)^'DCF'!F15+'DCF'!G17/(1+$B10)^'DCF'!G15+(('Operating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Forecast'!G9*F$5)/($B10-F$5))/(1+$B10)^'DCF'!G14+'Verified Inputs'!$C$60-'Verified Inputs'!$C$61+'Verified Inputs'!$C$15)/'Verified Inputs'!$C$8,"INVALID")</x:f>
        <x:v>119.5922115074391</x:v>
      </x:c>
      <x:c r="G10" s="245" t="n">
        <x:f aca="0">IF(AND('Verified Inputs'!$C$8&gt;0,$B10&gt;G$5),('DCF'!C17/(1+$B10)^'DCF'!C15+'DCF'!D17/(1+$B10)^'DCF'!D15+'DCF'!E17/(1+$B10)^'DCF'!E15+'DCF'!F17/(1+$B10)^'DCF'!F15+'DCF'!G17/(1+$B10)^'DCF'!G15+(('Operating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Forecast'!G9*G$5)/($B10-G$5))/(1+$B10)^'DCF'!G14+'Verified Inputs'!$C$60-'Verified Inputs'!$C$61+'Verified Inputs'!$C$15)/'Verified Inputs'!$C$8,"INVALID")</x:f>
        <x:v>128.71343484104062</x:v>
      </x:c>
      <x:c r="H10" s="88"/>
      <x:c r="I10" s="88"/>
      <x:c r="J10" s="88"/>
      <x:c r="K10" s="2"/>
      <x:c r="L10" s="2"/>
    </x:row>
    <x:row r="11" ht="19" hidden="0" customHeight="1">
      <x:c r="A11" s="88"/>
      <x:c r="B11" s="88"/>
      <x:c r="C11" s="88"/>
      <x:c r="D11" s="88"/>
      <x:c r="E11" s="88"/>
      <x:c r="F11" s="88"/>
      <x:c r="G11" s="88"/>
      <x:c r="H11" s="88"/>
      <x:c r="I11" s="88"/>
      <x:c r="J11" s="88"/>
      <x:c r="K11" s="2"/>
      <x:c r="L11" s="2"/>
    </x:row>
    <x:row r="12" ht="19" hidden="0" customHeight="1">
      <x:c r="A12" s="111"/>
      <x:c r="B12" s="111"/>
      <x:c r="C12" s="111"/>
      <x:c r="D12" s="111"/>
      <x:c r="E12" s="111"/>
      <x:c r="F12" s="111"/>
      <x:c r="G12" s="111"/>
      <x:c r="H12" s="111"/>
      <x:c r="I12" s="111"/>
      <x:c r="J12" s="111"/>
      <x:c r="K12" s="2"/>
      <x:c r="L12" s="2"/>
    </x:row>
    <x:row r="13" ht="24" hidden="0" customHeight="1">
      <x:c r="A13" s="88"/>
      <x:c r="B13" s="265" t="str">
        <x:v>Value per share: WACC × exit multiple</x:v>
      </x:c>
      <x:c r="C13" s="266"/>
      <x:c r="D13" s="266"/>
      <x:c r="E13" s="266"/>
      <x:c r="F13" s="266"/>
      <x:c r="G13" s="266"/>
      <x:c r="H13" s="105"/>
      <x:c r="I13" s="105"/>
      <x:c r="J13" s="105"/>
      <x:c r="K13" s="2"/>
      <x:c r="L13" s="2"/>
    </x:row>
    <x:row r="14" ht="19" hidden="0" customHeight="1">
      <x:c r="A14" s="88"/>
      <x:c r="B14" s="116" t="str">
        <x:v>WACC / multiple</x:v>
      </x:c>
      <x:c r="C14" s="232" t="n">
        <x:f aca="0">'Assumptions'!$C$32+-3</x:f>
        <x:v>13</x:v>
      </x:c>
      <x:c r="D14" s="232" t="n">
        <x:f aca="0">'Assumptions'!$C$32+-1.5</x:f>
        <x:v>14.5</x:v>
      </x:c>
      <x:c r="E14" s="232" t="n">
        <x:f aca="0">'Assumptions'!$C$32+0</x:f>
        <x:v>16</x:v>
      </x:c>
      <x:c r="F14" s="232" t="n">
        <x:f aca="0">'Assumptions'!$C$32+1.5</x:f>
        <x:v>17.5</x:v>
      </x:c>
      <x:c r="G14" s="232" t="n">
        <x:f aca="0">'Assumptions'!$C$32+3</x:f>
        <x:v>19</x:v>
      </x:c>
      <x:c r="H14" s="88"/>
      <x:c r="I14" s="88"/>
      <x:c r="J14" s="88"/>
      <x:c r="K14" s="2"/>
      <x:c r="L14" s="2"/>
    </x:row>
    <x:row r="15" ht="19" hidden="0" customHeight="1">
      <x:c r="A15" s="88"/>
      <x:c r="B15" s="264" t="n">
        <x:f>'DCF'!$C$9+-0.02</x:f>
        <x:v>0.0727378841769483</x:v>
      </x:c>
      <x:c r="C15" s="245" t="n">
        <x:f aca="0">IF(AND('Verified Inputs'!$C$8&gt;0,$B15&gt;0),('DCF'!C17/(1+$B15)^'DCF'!C15+'DCF'!D17/(1+$B15)^'DCF'!D15+'DCF'!E17/(1+$B15)^'DCF'!E15+'DCF'!F17/(1+$B15)^'DCF'!F15+'DCF'!G17/(1+$B15)^'DCF'!G15+(C$14*'Operating Forecast'!G20)/(1+$B15)^'DCF'!G14+'Verified Inputs'!$C$60-'Verified Inputs'!$C$61+'Verified Inputs'!$C$15)/'Verified Inputs'!$C$8,"INVALID")</x:f>
        <x:v>187.01093503110033</x:v>
      </x:c>
      <x:c r="D15" s="245" t="n">
        <x:f aca="0">IF(AND('Verified Inputs'!$C$8&gt;0,$B15&gt;0),('DCF'!C17/(1+$B15)^'DCF'!C15+'DCF'!D17/(1+$B15)^'DCF'!D15+'DCF'!E17/(1+$B15)^'DCF'!E15+'DCF'!F17/(1+$B15)^'DCF'!F15+'DCF'!G17/(1+$B15)^'DCF'!G15+(D$14*'Operating Forecast'!G20)/(1+$B15)^'DCF'!G14+'Verified Inputs'!$C$60-'Verified Inputs'!$C$61+'Verified Inputs'!$C$15)/'Verified Inputs'!$C$8,"INVALID")</x:f>
        <x:v>206.9375454661518</x:v>
      </x:c>
      <x:c r="E15" s="245" t="n">
        <x:f aca="0">IF(AND('Verified Inputs'!$C$8&gt;0,$B15&gt;0),('DCF'!C17/(1+$B15)^'DCF'!C15+'DCF'!D17/(1+$B15)^'DCF'!D15+'DCF'!E17/(1+$B15)^'DCF'!E15+'DCF'!F17/(1+$B15)^'DCF'!F15+'DCF'!G17/(1+$B15)^'DCF'!G15+(E$14*'Operating Forecast'!G20)/(1+$B15)^'DCF'!G14+'Verified Inputs'!$C$60-'Verified Inputs'!$C$61+'Verified Inputs'!$C$15)/'Verified Inputs'!$C$8,"INVALID")</x:f>
        <x:v>226.8641559012033</x:v>
      </x:c>
      <x:c r="F15" s="245" t="n">
        <x:f aca="0">IF(AND('Verified Inputs'!$C$8&gt;0,$B15&gt;0),('DCF'!C17/(1+$B15)^'DCF'!C15+'DCF'!D17/(1+$B15)^'DCF'!D15+'DCF'!E17/(1+$B15)^'DCF'!E15+'DCF'!F17/(1+$B15)^'DCF'!F15+'DCF'!G17/(1+$B15)^'DCF'!G15+(F$14*'Operating Forecast'!G20)/(1+$B15)^'DCF'!G14+'Verified Inputs'!$C$60-'Verified Inputs'!$C$61+'Verified Inputs'!$C$15)/'Verified Inputs'!$C$8,"INVALID")</x:f>
        <x:v>246.79076633625482</x:v>
      </x:c>
      <x:c r="G15" s="245" t="n">
        <x:f aca="0">IF(AND('Verified Inputs'!$C$8&gt;0,$B15&gt;0),('DCF'!C17/(1+$B15)^'DCF'!C15+'DCF'!D17/(1+$B15)^'DCF'!D15+'DCF'!E17/(1+$B15)^'DCF'!E15+'DCF'!F17/(1+$B15)^'DCF'!F15+'DCF'!G17/(1+$B15)^'DCF'!G15+(G$14*'Operating Forecast'!G20)/(1+$B15)^'DCF'!G14+'Verified Inputs'!$C$60-'Verified Inputs'!$C$61+'Verified Inputs'!$C$15)/'Verified Inputs'!$C$8,"INVALID")</x:f>
        <x:v>266.7173767713063</x:v>
      </x:c>
      <x:c r="H15" s="88"/>
      <x:c r="I15" s="88"/>
      <x:c r="J15" s="88"/>
      <x:c r="K15" s="2"/>
      <x:c r="L15" s="2"/>
    </x:row>
    <x:row r="16" ht="19" hidden="0" customHeight="1">
      <x:c r="A16" s="88"/>
      <x:c r="B16" s="264" t="n">
        <x:f>'DCF'!$C$9+-0.01</x:f>
        <x:v>0.08273788417694831</x:v>
      </x:c>
      <x:c r="C16" s="245" t="n">
        <x:f aca="0">IF(AND('Verified Inputs'!$C$8&gt;0,$B16&gt;0),('DCF'!C17/(1+$B16)^'DCF'!C15+'DCF'!D17/(1+$B16)^'DCF'!D15+'DCF'!E17/(1+$B16)^'DCF'!E15+'DCF'!F17/(1+$B16)^'DCF'!F15+'DCF'!G17/(1+$B16)^'DCF'!G15+(C$14*'Operating Forecast'!G20)/(1+$B16)^'DCF'!G14+'Verified Inputs'!$C$60-'Verified Inputs'!$C$61+'Verified Inputs'!$C$15)/'Verified Inputs'!$C$8,"INVALID")</x:f>
        <x:v>179.03788802376857</x:v>
      </x:c>
      <x:c r="D16" s="245" t="n">
        <x:f aca="0">IF(AND('Verified Inputs'!$C$8&gt;0,$B16&gt;0),('DCF'!C17/(1+$B16)^'DCF'!C15+'DCF'!D17/(1+$B16)^'DCF'!D15+'DCF'!E17/(1+$B16)^'DCF'!E15+'DCF'!F17/(1+$B16)^'DCF'!F15+'DCF'!G17/(1+$B16)^'DCF'!G15+(D$14*'Operating Forecast'!G20)/(1+$B16)^'DCF'!G14+'Verified Inputs'!$C$60-'Verified Inputs'!$C$61+'Verified Inputs'!$C$15)/'Verified Inputs'!$C$8,"INVALID")</x:f>
        <x:v>198.16540188612254</x:v>
      </x:c>
      <x:c r="E16" s="245" t="n">
        <x:f aca="0">IF(AND('Verified Inputs'!$C$8&gt;0,$B16&gt;0),('DCF'!C17/(1+$B16)^'DCF'!C15+'DCF'!D17/(1+$B16)^'DCF'!D15+'DCF'!E17/(1+$B16)^'DCF'!E15+'DCF'!F17/(1+$B16)^'DCF'!F15+'DCF'!G17/(1+$B16)^'DCF'!G15+(E$14*'Operating Forecast'!G20)/(1+$B16)^'DCF'!G14+'Verified Inputs'!$C$60-'Verified Inputs'!$C$61+'Verified Inputs'!$C$15)/'Verified Inputs'!$C$8,"INVALID")</x:f>
        <x:v>217.29291574847656</x:v>
      </x:c>
      <x:c r="F16" s="245" t="n">
        <x:f aca="0">IF(AND('Verified Inputs'!$C$8&gt;0,$B16&gt;0),('DCF'!C17/(1+$B16)^'DCF'!C15+'DCF'!D17/(1+$B16)^'DCF'!D15+'DCF'!E17/(1+$B16)^'DCF'!E15+'DCF'!F17/(1+$B16)^'DCF'!F15+'DCF'!G17/(1+$B16)^'DCF'!G15+(F$14*'Operating Forecast'!G20)/(1+$B16)^'DCF'!G14+'Verified Inputs'!$C$60-'Verified Inputs'!$C$61+'Verified Inputs'!$C$15)/'Verified Inputs'!$C$8,"INVALID")</x:f>
        <x:v>236.42042961083052</x:v>
      </x:c>
      <x:c r="G16" s="245" t="n">
        <x:f aca="0">IF(AND('Verified Inputs'!$C$8&gt;0,$B16&gt;0),('DCF'!C17/(1+$B16)^'DCF'!C15+'DCF'!D17/(1+$B16)^'DCF'!D15+'DCF'!E17/(1+$B16)^'DCF'!E15+'DCF'!F17/(1+$B16)^'DCF'!F15+'DCF'!G17/(1+$B16)^'DCF'!G15+(G$14*'Operating Forecast'!G20)/(1+$B16)^'DCF'!G14+'Verified Inputs'!$C$60-'Verified Inputs'!$C$61+'Verified Inputs'!$C$15)/'Verified Inputs'!$C$8,"INVALID")</x:f>
        <x:v>255.54794347318455</x:v>
      </x:c>
      <x:c r="H16" s="88"/>
      <x:c r="I16" s="88"/>
      <x:c r="J16" s="88"/>
      <x:c r="K16" s="2"/>
      <x:c r="L16" s="2"/>
    </x:row>
    <x:row r="17" ht="19" hidden="0" customHeight="1">
      <x:c r="A17" s="88"/>
      <x:c r="B17" s="264" t="n">
        <x:f>'DCF'!$C$9+0</x:f>
        <x:v>0.09273788417694831</x:v>
      </x:c>
      <x:c r="C17" s="245" t="n">
        <x:f aca="0">IF(AND('Verified Inputs'!$C$8&gt;0,$B17&gt;0),('DCF'!C17/(1+$B17)^'DCF'!C15+'DCF'!D17/(1+$B17)^'DCF'!D15+'DCF'!E17/(1+$B17)^'DCF'!E15+'DCF'!F17/(1+$B17)^'DCF'!F15+'DCF'!G17/(1+$B17)^'DCF'!G15+(C$14*'Operating Forecast'!G20)/(1+$B17)^'DCF'!G14+'Verified Inputs'!$C$60-'Verified Inputs'!$C$61+'Verified Inputs'!$C$15)/'Verified Inputs'!$C$8,"INVALID")</x:f>
        <x:v>171.43932254631065</x:v>
      </x:c>
      <x:c r="D17" s="245" t="n">
        <x:f aca="0">IF(AND('Verified Inputs'!$C$8&gt;0,$B17&gt;0),('DCF'!C17/(1+$B17)^'DCF'!C15+'DCF'!D17/(1+$B17)^'DCF'!D15+'DCF'!E17/(1+$B17)^'DCF'!E15+'DCF'!F17/(1+$B17)^'DCF'!F15+'DCF'!G17/(1+$B17)^'DCF'!G15+(D$14*'Operating Forecast'!G20)/(1+$B17)^'DCF'!G14+'Verified Inputs'!$C$60-'Verified Inputs'!$C$61+'Verified Inputs'!$C$15)/'Verified Inputs'!$C$8,"INVALID")</x:f>
        <x:v>189.80669506746628</x:v>
      </x:c>
      <x:c r="E17" s="245" t="n">
        <x:f aca="0">IF(AND('Verified Inputs'!$C$8&gt;0,$B17&gt;0),('DCF'!C17/(1+$B17)^'DCF'!C15+'DCF'!D17/(1+$B17)^'DCF'!D15+'DCF'!E17/(1+$B17)^'DCF'!E15+'DCF'!F17/(1+$B17)^'DCF'!F15+'DCF'!G17/(1+$B17)^'DCF'!G15+(E$14*'Operating Forecast'!G20)/(1+$B17)^'DCF'!G14+'Verified Inputs'!$C$60-'Verified Inputs'!$C$61+'Verified Inputs'!$C$15)/'Verified Inputs'!$C$8,"INVALID")</x:f>
        <x:v>208.174067588622</x:v>
      </x:c>
      <x:c r="F17" s="245" t="n">
        <x:f aca="0">IF(AND('Verified Inputs'!$C$8&gt;0,$B17&gt;0),('DCF'!C17/(1+$B17)^'DCF'!C15+'DCF'!D17/(1+$B17)^'DCF'!D15+'DCF'!E17/(1+$B17)^'DCF'!E15+'DCF'!F17/(1+$B17)^'DCF'!F15+'DCF'!G17/(1+$B17)^'DCF'!G15+(F$14*'Operating Forecast'!G20)/(1+$B17)^'DCF'!G14+'Verified Inputs'!$C$60-'Verified Inputs'!$C$61+'Verified Inputs'!$C$15)/'Verified Inputs'!$C$8,"INVALID")</x:f>
        <x:v>226.54144010977768</x:v>
      </x:c>
      <x:c r="G17" s="245" t="n">
        <x:f aca="0">IF(AND('Verified Inputs'!$C$8&gt;0,$B17&gt;0),('DCF'!C17/(1+$B17)^'DCF'!C15+'DCF'!D17/(1+$B17)^'DCF'!D15+'DCF'!E17/(1+$B17)^'DCF'!E15+'DCF'!F17/(1+$B17)^'DCF'!F15+'DCF'!G17/(1+$B17)^'DCF'!G15+(G$14*'Operating Forecast'!G20)/(1+$B17)^'DCF'!G14+'Verified Inputs'!$C$60-'Verified Inputs'!$C$61+'Verified Inputs'!$C$15)/'Verified Inputs'!$C$8,"INVALID")</x:f>
        <x:v>244.90881263093337</x:v>
      </x:c>
      <x:c r="H17" s="88"/>
      <x:c r="I17" s="88"/>
      <x:c r="J17" s="88"/>
      <x:c r="K17" s="2"/>
      <x:c r="L17" s="2"/>
    </x:row>
    <x:row r="18" ht="19" hidden="0" customHeight="1">
      <x:c r="A18" s="88"/>
      <x:c r="B18" s="264" t="n">
        <x:f>'DCF'!$C$9+0.01</x:f>
        <x:v>0.1027378841769483</x:v>
      </x:c>
      <x:c r="C18" s="245" t="n">
        <x:f aca="0">IF(AND('Verified Inputs'!$C$8&gt;0,$B18&gt;0),('DCF'!C17/(1+$B18)^'DCF'!C15+'DCF'!D17/(1+$B18)^'DCF'!D15+'DCF'!E17/(1+$B18)^'DCF'!E15+'DCF'!F17/(1+$B18)^'DCF'!F15+'DCF'!G17/(1+$B18)^'DCF'!G15+(C$14*'Operating Forecast'!G20)/(1+$B18)^'DCF'!G14+'Verified Inputs'!$C$60-'Verified Inputs'!$C$61+'Verified Inputs'!$C$15)/'Verified Inputs'!$C$8,"INVALID")</x:f>
        <x:v>164.19421046642094</x:v>
      </x:c>
      <x:c r="D18" s="245" t="n">
        <x:f aca="0">IF(AND('Verified Inputs'!$C$8&gt;0,$B18&gt;0),('DCF'!C17/(1+$B18)^'DCF'!C15+'DCF'!D17/(1+$B18)^'DCF'!D15+'DCF'!E17/(1+$B18)^'DCF'!E15+'DCF'!F17/(1+$B18)^'DCF'!F15+'DCF'!G17/(1+$B18)^'DCF'!G15+(D$14*'Operating Forecast'!G20)/(1+$B18)^'DCF'!G14+'Verified Inputs'!$C$60-'Verified Inputs'!$C$61+'Verified Inputs'!$C$15)/'Verified Inputs'!$C$8,"INVALID")</x:f>
        <x:v>181.83816702581402</x:v>
      </x:c>
      <x:c r="E18" s="245" t="n">
        <x:f aca="0">IF(AND('Verified Inputs'!$C$8&gt;0,$B18&gt;0),('DCF'!C17/(1+$B18)^'DCF'!C15+'DCF'!D17/(1+$B18)^'DCF'!D15+'DCF'!E17/(1+$B18)^'DCF'!E15+'DCF'!F17/(1+$B18)^'DCF'!F15+'DCF'!G17/(1+$B18)^'DCF'!G15+(E$14*'Operating Forecast'!G20)/(1+$B18)^'DCF'!G14+'Verified Inputs'!$C$60-'Verified Inputs'!$C$61+'Verified Inputs'!$C$15)/'Verified Inputs'!$C$8,"INVALID")</x:f>
        <x:v>199.48212358520715</x:v>
      </x:c>
      <x:c r="F18" s="245" t="n">
        <x:f aca="0">IF(AND('Verified Inputs'!$C$8&gt;0,$B18&gt;0),('DCF'!C17/(1+$B18)^'DCF'!C15+'DCF'!D17/(1+$B18)^'DCF'!D15+'DCF'!E17/(1+$B18)^'DCF'!E15+'DCF'!F17/(1+$B18)^'DCF'!F15+'DCF'!G17/(1+$B18)^'DCF'!G15+(F$14*'Operating Forecast'!G20)/(1+$B18)^'DCF'!G14+'Verified Inputs'!$C$60-'Verified Inputs'!$C$61+'Verified Inputs'!$C$15)/'Verified Inputs'!$C$8,"INVALID")</x:f>
        <x:v>217.12608014460028</x:v>
      </x:c>
      <x:c r="G18" s="245" t="n">
        <x:f aca="0">IF(AND('Verified Inputs'!$C$8&gt;0,$B18&gt;0),('DCF'!C17/(1+$B18)^'DCF'!C15+'DCF'!D17/(1+$B18)^'DCF'!D15+'DCF'!E17/(1+$B18)^'DCF'!E15+'DCF'!F17/(1+$B18)^'DCF'!F15+'DCF'!G17/(1+$B18)^'DCF'!G15+(G$14*'Operating Forecast'!G20)/(1+$B18)^'DCF'!G14+'Verified Inputs'!$C$60-'Verified Inputs'!$C$61+'Verified Inputs'!$C$15)/'Verified Inputs'!$C$8,"INVALID")</x:f>
        <x:v>234.7700367039934</x:v>
      </x:c>
      <x:c r="H18" s="88"/>
      <x:c r="I18" s="88"/>
      <x:c r="J18" s="88"/>
      <x:c r="K18" s="2"/>
      <x:c r="L18" s="2"/>
    </x:row>
    <x:row r="19" ht="19" hidden="0" customHeight="1">
      <x:c r="A19" s="88"/>
      <x:c r="B19" s="231" t="n">
        <x:f>'DCF'!$C$9+0.02</x:f>
        <x:v>0.11273788417694831</x:v>
      </x:c>
      <x:c r="C19" s="233" t="n">
        <x:f>IF(AND('Verified Inputs'!$C$8&gt;0,$B19&gt;0),('DCF'!C17/(1+$B19)^'DCF'!C15+'DCF'!D17/(1+$B19)^'DCF'!D15+'DCF'!E17/(1+$B19)^'DCF'!E15+'DCF'!F17/(1+$B19)^'DCF'!F15+'DCF'!G17/(1+$B19)^'DCF'!G15+(C$14*'Operating Forecast'!G20)/(1+$B19)^'DCF'!G14+'Verified Inputs'!$C$60-'Verified Inputs'!$C$61+'Verified Inputs'!$C$15)/'Verified Inputs'!$C$8,"INVALID")</x:f>
        <x:v>157.28288640327133</x:v>
      </x:c>
      <x:c r="D19" s="233" t="n">
        <x:f>IF(AND('Verified Inputs'!$C$8&gt;0,$B19&gt;0),('DCF'!C17/(1+$B19)^'DCF'!C15+'DCF'!D17/(1+$B19)^'DCF'!D15+'DCF'!E17/(1+$B19)^'DCF'!E15+'DCF'!F17/(1+$B19)^'DCF'!F15+'DCF'!G17/(1+$B19)^'DCF'!G15+(D$14*'Operating Forecast'!G20)/(1+$B19)^'DCF'!G14+'Verified Inputs'!$C$60-'Verified Inputs'!$C$61+'Verified Inputs'!$C$15)/'Verified Inputs'!$C$8,"INVALID")</x:f>
        <x:v>174.2380687687512</x:v>
      </x:c>
      <x:c r="E19" s="233" t="n">
        <x:f>IF(AND('Verified Inputs'!$C$8&gt;0,$B19&gt;0),('DCF'!C17/(1+$B19)^'DCF'!C15+'DCF'!D17/(1+$B19)^'DCF'!D15+'DCF'!E17/(1+$B19)^'DCF'!E15+'DCF'!F17/(1+$B19)^'DCF'!F15+'DCF'!G17/(1+$B19)^'DCF'!G15+(E$14*'Operating Forecast'!G20)/(1+$B19)^'DCF'!G14+'Verified Inputs'!$C$60-'Verified Inputs'!$C$61+'Verified Inputs'!$C$15)/'Verified Inputs'!$C$8,"INVALID")</x:f>
        <x:v>191.19325113423108</x:v>
      </x:c>
      <x:c r="F19" s="233" t="n">
        <x:f>IF(AND('Verified Inputs'!$C$8&gt;0,$B19&gt;0),('DCF'!C17/(1+$B19)^'DCF'!C15+'DCF'!D17/(1+$B19)^'DCF'!D15+'DCF'!E17/(1+$B19)^'DCF'!E15+'DCF'!F17/(1+$B19)^'DCF'!F15+'DCF'!G17/(1+$B19)^'DCF'!G15+(F$14*'Operating Forecast'!G20)/(1+$B19)^'DCF'!G14+'Verified Inputs'!$C$60-'Verified Inputs'!$C$61+'Verified Inputs'!$C$15)/'Verified Inputs'!$C$8,"INVALID")</x:f>
        <x:v>208.14843349971093</x:v>
      </x:c>
      <x:c r="G19" s="233" t="n">
        <x:f>IF(AND('Verified Inputs'!$C$8&gt;0,$B19&gt;0),('DCF'!C17/(1+$B19)^'DCF'!C15+'DCF'!D17/(1+$B19)^'DCF'!D15+'DCF'!E17/(1+$B19)^'DCF'!E15+'DCF'!F17/(1+$B19)^'DCF'!F15+'DCF'!G17/(1+$B19)^'DCF'!G15+(G$14*'Operating Forecast'!G20)/(1+$B19)^'DCF'!G14+'Verified Inputs'!$C$60-'Verified Inputs'!$C$61+'Verified Inputs'!$C$15)/'Verified Inputs'!$C$8,"INVALID")</x:f>
        <x:v>225.10361586519082</x:v>
      </x:c>
      <x:c r="H19" s="88"/>
      <x:c r="I19" s="88"/>
      <x:c r="J19" s="88"/>
      <x:c r="K19" s="2"/>
      <x:c r="L19" s="2"/>
    </x:row>
    <x:row r="20" ht="19" hidden="0" customHeight="1">
      <x:c r="A20" s="88"/>
      <x:c r="B20" s="125"/>
      <x:c r="C20" s="88"/>
      <x:c r="D20" s="88"/>
      <x:c r="E20" s="88"/>
      <x:c r="F20" s="88"/>
      <x:c r="G20" s="88"/>
      <x:c r="H20" s="88"/>
      <x:c r="I20" s="88"/>
      <x:c r="J20" s="88"/>
      <x:c r="K20" s="2"/>
      <x:c r="L20" s="2"/>
    </x:row>
    <x:row r="21" ht="19" hidden="0" customHeight="1">
      <x:c r="A21" s="88"/>
      <x:c r="B21" s="88"/>
      <x:c r="C21" s="88"/>
      <x:c r="D21" s="88"/>
      <x:c r="E21" s="88"/>
      <x:c r="F21" s="88"/>
      <x:c r="G21" s="88"/>
      <x:c r="H21" s="88"/>
      <x:c r="I21" s="88"/>
      <x:c r="J21" s="88"/>
      <x:c r="K21" s="2"/>
      <x:c r="L21" s="2"/>
    </x:row>
    <x:row r="22" ht="19" hidden="0" customHeight="1">
      <x:c r="A22" s="88"/>
      <x:c r="B22" s="88"/>
      <x:c r="C22" s="88"/>
      <x:c r="D22" s="88"/>
      <x:c r="E22" s="88"/>
      <x:c r="F22" s="88"/>
      <x:c r="G22" s="88"/>
      <x:c r="H22" s="88"/>
      <x:c r="I22" s="88"/>
      <x:c r="J22" s="88"/>
      <x:c r="K22" s="2"/>
      <x:c r="L22" s="2"/>
    </x:row>
    <x:row r="23" ht="19" hidden="0" customHeight="1">
      <x:c r="A23" s="88"/>
      <x:c r="B23" s="107" t="str">
        <x:v>Sensitivity tables use the same cash, debt and share inputs as the DCF. Center cells match the DCF when growth and exit multiples match the active assumptions.</x:v>
      </x:c>
      <x:c r="C23" s="107"/>
      <x:c r="D23" s="107"/>
      <x:c r="E23" s="107"/>
      <x:c r="F23" s="107"/>
      <x:c r="G23" s="107"/>
      <x:c r="H23" s="107"/>
      <x:c r="I23" s="107"/>
      <x:c r="J23" s="107"/>
      <x:c r="K23" s="2"/>
      <x:c r="L23" s="2"/>
    </x:row>
    <x:row r="24" ht="19" hidden="0" customHeight="1">
      <x:c r="A24" s="88"/>
      <x:c r="B24" s="107"/>
      <x:c r="C24" s="107"/>
      <x:c r="D24" s="107"/>
      <x:c r="E24" s="107"/>
      <x:c r="F24" s="107"/>
      <x:c r="G24" s="107"/>
      <x:c r="H24" s="107"/>
      <x:c r="I24" s="107"/>
      <x:c r="J24" s="107"/>
      <x:c r="K24" s="2"/>
      <x:c r="L24" s="2"/>
    </x:row>
    <x:row r="25" ht="19" hidden="0" customHeight="1">
      <x:c r="A25" s="88"/>
      <x:c r="B25" s="107"/>
      <x:c r="C25" s="107"/>
      <x:c r="D25" s="107"/>
      <x:c r="E25" s="107"/>
      <x:c r="F25" s="107"/>
      <x:c r="G25" s="107"/>
      <x:c r="H25" s="107"/>
      <x:c r="I25" s="107"/>
      <x:c r="J25" s="107"/>
      <x:c r="K25" s="2"/>
      <x:c r="L25" s="2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  <x:c r="K26" s="2"/>
      <x:c r="L26" s="2"/>
    </x:row>
    <x:row r="27" ht="19" hidden="0" customHeight="1">
      <x:c r="A27" s="88"/>
      <x:c r="B27" s="88"/>
      <x:c r="C27" s="88"/>
      <x:c r="D27" s="88"/>
      <x:c r="E27" s="88"/>
      <x:c r="F27" s="88"/>
      <x:c r="G27" s="88"/>
      <x:c r="H27" s="88"/>
      <x:c r="I27" s="88"/>
      <x:c r="J27" s="88"/>
      <x:c r="K27" s="2"/>
      <x:c r="L27" s="2"/>
    </x:row>
    <x:row r="28" ht="19" hidden="0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  <x:c r="K28" s="2"/>
      <x:c r="L28" s="2"/>
    </x:row>
    <x:row r="29" ht="19" hidden="0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  <x:c r="K29" s="2"/>
      <x:c r="L29" s="2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  <x:c r="K30" s="2"/>
      <x:c r="L30" s="2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  <x:c r="K31" s="2"/>
      <x:c r="L31" s="2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  <x:c r="K32" s="2"/>
      <x:c r="L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B4:J4"/>
    <x:mergeCell ref="B13:J13"/>
    <x:mergeCell ref="B23:J25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4" width="16" hidden="0" customWidth="1"/>
    <x:col min="5" max="5" width="17" hidden="0" customWidth="1"/>
    <x:col min="3" max="3" width="17" hidden="0" customWidth="1"/>
    <x:col min="4" max="4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SOURCES &amp; MODEL ASSUMPTIONS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Financial sources, accounting adjustments and valuation conventions. September 8, 2026.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111"/>
      <x:c r="B4" s="111"/>
      <x:c r="C4" s="111"/>
      <x:c r="D4" s="111"/>
      <x:c r="E4" s="111"/>
      <x:c r="F4" s="111"/>
      <x:c r="G4" s="111"/>
      <x:c r="H4" s="111"/>
      <x:c r="I4" s="88"/>
      <x:c r="J4" s="88"/>
    </x:row>
    <x:row r="5" ht="19" hidden="0" customHeight="1">
      <x:c r="A5" s="88"/>
      <x:c r="B5" s="241" t="str">
        <x:v>Current quarter: https://investor.salesforce.com/news/news-details/2026/Salesforce-Delivers-Record-Second-Quarter-Fiscal-2027-Results/default.aspx</x:v>
      </x:c>
      <x:c r="C5" s="241"/>
      <x:c r="D5" s="241"/>
      <x:c r="E5" s="241"/>
      <x:c r="F5" s="107"/>
      <x:c r="G5" s="107"/>
      <x:c r="H5" s="107"/>
      <x:c r="I5" s="107"/>
      <x:c r="J5" s="107"/>
    </x:row>
    <x:row r="6" ht="19" hidden="0" customHeight="1">
      <x:c r="A6" s="88"/>
      <x:c r="B6" s="107"/>
      <x:c r="C6" s="107"/>
      <x:c r="D6" s="107"/>
      <x:c r="E6" s="273"/>
      <x:c r="F6" s="107"/>
      <x:c r="G6" s="107"/>
      <x:c r="H6" s="107"/>
      <x:c r="I6" s="107"/>
      <x:c r="J6" s="107"/>
    </x:row>
    <x:row r="7" ht="19" hidden="0" customHeight="1">
      <x:c r="A7" s="88"/>
      <x:c r="B7" s="107"/>
      <x:c r="C7" s="107"/>
      <x:c r="D7" s="107"/>
      <x:c r="E7" s="273"/>
      <x:c r="F7" s="107"/>
      <x:c r="G7" s="107"/>
      <x:c r="H7" s="107"/>
      <x:c r="I7" s="107"/>
      <x:c r="J7" s="107"/>
    </x:row>
    <x:row r="8" ht="19" hidden="0" customHeight="1">
      <x:c r="A8" s="88"/>
      <x:c r="B8" s="88"/>
      <x:c r="C8" s="88"/>
      <x:c r="D8" s="88"/>
      <x:c r="E8" s="273"/>
      <x:c r="F8" s="88"/>
      <x:c r="G8" s="88"/>
      <x:c r="H8" s="88"/>
      <x:c r="I8" s="88"/>
      <x:c r="J8" s="88"/>
    </x:row>
    <x:row r="9" ht="19" hidden="0" customHeight="1">
      <x:c r="A9" s="88"/>
      <x:c r="B9" s="107" t="str">
        <x:v>Latest full year: https://investor.salesforce.com/news/news-details/2026/Salesforce-Delivers-Record-Fourth-Quarter-Fiscal-2026-Results/default.aspx</x:v>
      </x:c>
      <x:c r="C9" s="107"/>
      <x:c r="D9" s="107"/>
      <x:c r="E9" s="273"/>
      <x:c r="F9" s="107"/>
      <x:c r="G9" s="107"/>
      <x:c r="H9" s="107"/>
      <x:c r="I9" s="107"/>
      <x:c r="J9" s="107"/>
    </x:row>
    <x:row r="10" ht="19" hidden="0" customHeight="1">
      <x:c r="A10" s="88"/>
      <x:c r="B10" s="107"/>
      <x:c r="C10" s="107"/>
      <x:c r="D10" s="107"/>
      <x:c r="E10" s="273"/>
      <x:c r="F10" s="107"/>
      <x:c r="G10" s="107"/>
      <x:c r="H10" s="107"/>
      <x:c r="I10" s="107"/>
      <x:c r="J10" s="107"/>
    </x:row>
    <x:row r="11" ht="19" hidden="0" customHeight="1">
      <x:c r="A11" s="88"/>
      <x:c r="B11" s="107"/>
      <x:c r="C11" s="107"/>
      <x:c r="D11" s="107"/>
      <x:c r="E11" s="273"/>
      <x:c r="F11" s="107"/>
      <x:c r="G11" s="107"/>
      <x:c r="H11" s="107"/>
      <x:c r="I11" s="107"/>
      <x:c r="J11" s="107"/>
    </x:row>
    <x:row r="12" ht="19" hidden="0" customHeight="1">
      <x:c r="A12" s="88"/>
      <x:c r="B12" s="88"/>
      <x:c r="C12" s="88"/>
      <x:c r="D12" s="88"/>
      <x:c r="E12" s="273"/>
      <x:c r="F12" s="88"/>
      <x:c r="G12" s="88"/>
      <x:c r="H12" s="88"/>
      <x:c r="I12" s="88"/>
      <x:c r="J12" s="88"/>
    </x:row>
    <x:row r="13" ht="19" hidden="0" customHeight="1">
      <x:c r="A13" s="88"/>
      <x:c r="B13" s="107" t="str">
        <x:v>Historical GAAP operating income: FY2023 $1,030m; FY2024 $5,011m. Source: https://investor.salesforce.com/news/news-details/2024/Salesforce-Announces-Strong-Fourth-Quarter-Fiscal-2024-Results/default.aspx</x:v>
      </x:c>
      <x:c r="C13" s="107"/>
      <x:c r="D13" s="107"/>
      <x:c r="E13" s="107"/>
      <x:c r="F13" s="107"/>
      <x:c r="G13" s="107"/>
      <x:c r="H13" s="107"/>
      <x:c r="I13" s="107"/>
      <x:c r="J13" s="107"/>
    </x:row>
    <x:row r="14" ht="19" hidden="0" customHeight="1">
      <x:c r="A14" s="111"/>
      <x:c r="B14" s="241"/>
      <x:c r="C14" s="241"/>
      <x:c r="D14" s="241"/>
      <x:c r="E14" s="241"/>
      <x:c r="F14" s="241"/>
      <x:c r="G14" s="241"/>
      <x:c r="H14" s="241"/>
      <x:c r="I14" s="107"/>
      <x:c r="J14" s="107"/>
    </x:row>
    <x:row r="15" ht="19" hidden="0" customHeight="1">
      <x:c r="A15" s="88"/>
      <x:c r="B15" s="241"/>
      <x:c r="C15" s="107"/>
      <x:c r="D15" s="107"/>
      <x:c r="E15" s="273"/>
      <x:c r="F15" s="107"/>
      <x:c r="G15" s="107"/>
      <x:c r="H15" s="107"/>
      <x:c r="I15" s="107"/>
      <x:c r="J15" s="107"/>
    </x:row>
    <x:row r="16" ht="19" hidden="0" customHeight="1">
      <x:c r="A16" s="88"/>
      <x:c r="B16" s="241"/>
      <x:c r="C16" s="107"/>
      <x:c r="D16" s="107"/>
      <x:c r="E16" s="273"/>
      <x:c r="F16" s="107"/>
      <x:c r="G16" s="107"/>
      <x:c r="H16" s="107"/>
      <x:c r="I16" s="107"/>
      <x:c r="J16" s="107"/>
    </x:row>
    <x:row r="17" ht="19" hidden="0" customHeight="1">
      <x:c r="A17" s="88"/>
      <x:c r="B17" s="111"/>
      <x:c r="C17" s="88"/>
      <x:c r="D17" s="88"/>
      <x:c r="E17" s="273"/>
      <x:c r="F17" s="88"/>
      <x:c r="G17" s="88"/>
      <x:c r="H17" s="88"/>
      <x:c r="I17" s="88"/>
      <x:c r="J17" s="88"/>
    </x:row>
    <x:row r="18" ht="19" hidden="0" customHeight="1">
      <x:c r="A18" s="88"/>
      <x:c r="B18" s="111"/>
      <x:c r="C18" s="88"/>
      <x:c r="D18" s="88"/>
      <x:c r="E18" s="273"/>
      <x:c r="F18" s="88"/>
      <x:c r="G18" s="88"/>
      <x:c r="H18" s="88"/>
      <x:c r="I18" s="88"/>
      <x:c r="J18" s="88"/>
    </x:row>
    <x:row r="19" ht="19" hidden="0" customHeight="1">
      <x:c r="A19" s="88"/>
      <x:c r="B19" s="241" t="str">
        <x:v>Operating margin assumption: 20.1% for the current fiscal year, with scenario changes specified on the Assumptions tab. Revenue excludes $200m related to pending acquisitions.</x:v>
      </x:c>
      <x:c r="C19" s="107"/>
      <x:c r="D19" s="107"/>
      <x:c r="E19" s="273"/>
      <x:c r="F19" s="107"/>
      <x:c r="G19" s="107"/>
      <x:c r="H19" s="107"/>
      <x:c r="I19" s="107"/>
      <x:c r="J19" s="107"/>
    </x:row>
    <x:row r="20" ht="19" hidden="0" customHeight="1">
      <x:c r="A20" s="88"/>
      <x:c r="B20" s="107"/>
      <x:c r="C20" s="107"/>
      <x:c r="D20" s="107"/>
      <x:c r="E20" s="107"/>
      <x:c r="F20" s="107"/>
      <x:c r="G20" s="107"/>
      <x:c r="H20" s="107"/>
      <x:c r="I20" s="107"/>
      <x:c r="J20" s="107"/>
    </x:row>
    <x:row r="21" ht="19" hidden="0" customHeight="1">
      <x:c r="A21" s="111"/>
      <x:c r="B21" s="241"/>
      <x:c r="C21" s="241"/>
      <x:c r="D21" s="241"/>
      <x:c r="E21" s="241"/>
      <x:c r="F21" s="241"/>
      <x:c r="G21" s="241"/>
      <x:c r="H21" s="241"/>
      <x:c r="I21" s="107"/>
      <x:c r="J21" s="107"/>
    </x:row>
    <x:row r="22" ht="19" hidden="0" customHeight="1">
      <x:c r="A22" s="88"/>
      <x:c r="B22" s="125"/>
      <x:c r="C22" s="125"/>
      <x:c r="D22" s="125"/>
      <x:c r="E22" s="125"/>
      <x:c r="F22" s="125"/>
      <x:c r="G22" s="125"/>
      <x:c r="H22" s="125"/>
      <x:c r="I22" s="88"/>
      <x:c r="J22" s="88"/>
    </x:row>
    <x:row r="23" ht="19" hidden="0" customHeight="1">
      <x:c r="A23" s="88"/>
      <x:c r="B23" s="302" t="str">
        <x:v>Funded debt: $39,288m at July 31, 2026. The $25bn financing supported an accelerated share repurchase.</x:v>
      </x:c>
      <x:c r="C23" s="302"/>
      <x:c r="D23" s="302"/>
      <x:c r="E23" s="302"/>
      <x:c r="F23" s="302"/>
      <x:c r="G23" s="302"/>
      <x:c r="H23" s="302"/>
      <x:c r="I23" s="107"/>
      <x:c r="J23" s="107"/>
    </x:row>
    <x:row r="24" ht="19" hidden="0" customHeight="1">
      <x:c r="A24" s="88"/>
      <x:c r="B24" s="302"/>
      <x:c r="C24" s="302"/>
      <x:c r="D24" s="302"/>
      <x:c r="E24" s="302"/>
      <x:c r="F24" s="302"/>
      <x:c r="G24" s="302"/>
      <x:c r="H24" s="302"/>
      <x:c r="I24" s="107"/>
      <x:c r="J24" s="107"/>
    </x:row>
    <x:row r="25" ht="19" hidden="0" customHeight="1">
      <x:c r="A25" s="88"/>
      <x:c r="B25" s="302"/>
      <x:c r="C25" s="302"/>
      <x:c r="D25" s="302"/>
      <x:c r="E25" s="302"/>
      <x:c r="F25" s="302"/>
      <x:c r="G25" s="302"/>
      <x:c r="H25" s="302"/>
      <x:c r="I25" s="107"/>
      <x:c r="J25" s="107"/>
    </x:row>
    <x:row r="26" ht="19" hidden="0" customHeight="1">
      <x:c r="A26" s="88"/>
      <x:c r="B26" s="88"/>
      <x:c r="C26" s="88"/>
      <x:c r="D26" s="88"/>
      <x:c r="E26" s="88"/>
      <x:c r="F26" s="88"/>
      <x:c r="G26" s="88"/>
      <x:c r="H26" s="88"/>
      <x:c r="I26" s="88"/>
      <x:c r="J26" s="88"/>
    </x:row>
    <x:row r="27" ht="19" hidden="0" customHeight="1">
      <x:c r="A27" s="88"/>
      <x:c r="B27" s="107" t="str">
        <x:v>Subscription and services assumptions drive revenue. Stock compensation remains an economic expense. Future share issuance is included in forecast EPS.</x:v>
      </x:c>
      <x:c r="C27" s="107"/>
      <x:c r="D27" s="107"/>
      <x:c r="E27" s="107"/>
      <x:c r="F27" s="107"/>
      <x:c r="G27" s="107"/>
      <x:c r="H27" s="107"/>
      <x:c r="I27" s="107"/>
      <x:c r="J27" s="107"/>
    </x:row>
    <x:row r="28" ht="19" hidden="0" customHeight="1">
      <x:c r="A28" s="88"/>
      <x:c r="B28" s="107"/>
      <x:c r="C28" s="107"/>
      <x:c r="D28" s="107"/>
      <x:c r="E28" s="107"/>
      <x:c r="F28" s="107"/>
      <x:c r="G28" s="107"/>
      <x:c r="H28" s="107"/>
      <x:c r="I28" s="107"/>
      <x:c r="J28" s="107"/>
    </x:row>
    <x:row r="29" ht="19" hidden="0" customHeight="1">
      <x:c r="A29" s="88"/>
      <x:c r="B29" s="107"/>
      <x:c r="C29" s="107"/>
      <x:c r="D29" s="107"/>
      <x:c r="E29" s="107"/>
      <x:c r="F29" s="107"/>
      <x:c r="G29" s="107"/>
      <x:c r="H29" s="107"/>
      <x:c r="I29" s="107"/>
      <x:c r="J29" s="107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</x:row>
    <x:row r="31" ht="19" hidden="0" customHeight="1">
      <x:c r="A31" s="88"/>
      <x:c r="B31" s="107" t="str">
        <x:v>Asset assumptions: PP&amp;E depreciation and acquired-intangible amortization are separate. Goodwill is not amortized. Operating lease assets and liabilities remain flat, with rent expensed.</x:v>
      </x:c>
      <x:c r="C31" s="107"/>
      <x:c r="D31" s="107"/>
      <x:c r="E31" s="107"/>
      <x:c r="F31" s="107"/>
      <x:c r="G31" s="107"/>
      <x:c r="H31" s="107"/>
      <x:c r="I31" s="107"/>
      <x:c r="J31" s="107"/>
    </x:row>
    <x:row r="32" ht="19" hidden="0" customHeight="1">
      <x:c r="A32" s="88"/>
      <x:c r="B32" s="107"/>
      <x:c r="C32" s="107"/>
      <x:c r="D32" s="107"/>
      <x:c r="E32" s="107"/>
      <x:c r="F32" s="107"/>
      <x:c r="G32" s="107"/>
      <x:c r="H32" s="107"/>
      <x:c r="I32" s="107"/>
      <x:c r="J32" s="107"/>
    </x:row>
    <x:row r="33" ht="19" hidden="0" customHeight="1">
      <x:c r="A33" s="88"/>
      <x:c r="B33" s="107"/>
      <x:c r="C33" s="107"/>
      <x:c r="D33" s="107"/>
      <x:c r="E33" s="107"/>
      <x:c r="F33" s="107"/>
      <x:c r="G33" s="107"/>
      <x:c r="H33" s="107"/>
      <x:c r="I33" s="107"/>
      <x:c r="J33" s="107"/>
    </x:row>
    <x:row r="34" ht="19" hidden="0" customHeight="1">
      <x:c r="A34" s="88"/>
      <x:c r="B34" s="88"/>
      <x:c r="C34" s="88"/>
      <x:c r="D34" s="88"/>
      <x:c r="E34" s="88"/>
      <x:c r="F34" s="88"/>
      <x:c r="G34" s="88"/>
      <x:c r="H34" s="88"/>
      <x:c r="I34" s="88"/>
      <x:c r="J34" s="88"/>
    </x:row>
    <x:row r="35" ht="19" hidden="0" customHeight="1">
      <x:c r="A35" s="88"/>
      <x:c r="B35" s="107" t="str">
        <x:v>DCF convention: only future cash flows are valued. Terminal value uses long-term growth and reinvestment assumptions. The exit-multiple method is a separate cross-check.</x:v>
      </x:c>
      <x:c r="C35" s="107"/>
      <x:c r="D35" s="107"/>
      <x:c r="E35" s="107"/>
      <x:c r="F35" s="107"/>
      <x:c r="G35" s="107"/>
      <x:c r="H35" s="107"/>
      <x:c r="I35" s="107"/>
      <x:c r="J35" s="107"/>
    </x:row>
    <x:row r="36" ht="19" hidden="0" customHeight="1">
      <x:c r="A36" s="88"/>
      <x:c r="B36" s="107"/>
      <x:c r="C36" s="107"/>
      <x:c r="D36" s="107"/>
      <x:c r="E36" s="107"/>
      <x:c r="F36" s="107"/>
      <x:c r="G36" s="107"/>
      <x:c r="H36" s="107"/>
      <x:c r="I36" s="107"/>
      <x:c r="J36" s="107"/>
    </x:row>
    <x:row r="37" ht="19" hidden="0" customHeight="1">
      <x:c r="A37" s="88"/>
      <x:c r="B37" s="107"/>
      <x:c r="C37" s="107"/>
      <x:c r="D37" s="107"/>
      <x:c r="E37" s="107"/>
      <x:c r="F37" s="107"/>
      <x:c r="G37" s="107"/>
      <x:c r="H37" s="107"/>
      <x:c r="I37" s="107"/>
      <x:c r="J37" s="107"/>
    </x:row>
    <x:row r="38" ht="19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</x:row>
    <x:row r="39" ht="19" hidden="0" customHeight="1">
      <x:c r="A39" s="88"/>
      <x:c r="B39" s="107" t="str">
        <x:v>Buyer-return assumptions: remaining forecast horizon, beginning-debt interest, cash available for debt repayment, retained exit cash and transaction fees.</x:v>
      </x:c>
      <x:c r="C39" s="107"/>
      <x:c r="D39" s="107"/>
      <x:c r="E39" s="107"/>
      <x:c r="F39" s="107"/>
      <x:c r="G39" s="107"/>
      <x:c r="H39" s="107"/>
      <x:c r="I39" s="107"/>
      <x:c r="J39" s="107"/>
    </x:row>
    <x:row r="40" ht="19" hidden="0" customHeight="1">
      <x:c r="A40" s="88"/>
      <x:c r="B40" s="107"/>
      <x:c r="C40" s="107"/>
      <x:c r="D40" s="107"/>
      <x:c r="E40" s="107"/>
      <x:c r="F40" s="107"/>
      <x:c r="G40" s="107"/>
      <x:c r="H40" s="107"/>
      <x:c r="I40" s="107"/>
      <x:c r="J40" s="107"/>
    </x:row>
    <x:row r="41" ht="19" hidden="0" customHeight="1">
      <x:c r="A41" s="88"/>
      <x:c r="B41" s="107"/>
      <x:c r="C41" s="107"/>
      <x:c r="D41" s="107"/>
      <x:c r="E41" s="107"/>
      <x:c r="F41" s="107"/>
      <x:c r="G41" s="107"/>
      <x:c r="H41" s="107"/>
      <x:c r="I41" s="107"/>
      <x:c r="J41" s="107"/>
    </x:row>
    <x:row r="42" ht="19" hidden="0" customHeight="1">
      <x:c r="A42" s="88"/>
      <x:c r="B42" s="88"/>
      <x:c r="C42" s="88"/>
      <x:c r="D42" s="88"/>
      <x:c r="E42" s="88"/>
      <x:c r="F42" s="88"/>
      <x:c r="G42" s="88"/>
      <x:c r="H42" s="88"/>
      <x:c r="I42" s="88"/>
      <x:c r="J42" s="88"/>
    </x:row>
    <x:row r="43" ht="19" hidden="0" customHeight="1">
      <x:c r="A43" s="88"/>
      <x:c r="B43" s="107" t="str">
        <x:v>Calculation checks cover balance sheets, cash and debt roll-forwards, revenue, equity bridges, liquidity, financing and valuation sensitivities.</x:v>
      </x:c>
      <x:c r="C43" s="107"/>
      <x:c r="D43" s="107"/>
      <x:c r="E43" s="107"/>
      <x:c r="F43" s="107"/>
      <x:c r="G43" s="107"/>
      <x:c r="H43" s="107"/>
      <x:c r="I43" s="107"/>
      <x:c r="J43" s="107"/>
    </x:row>
    <x:row r="44" ht="19" hidden="0" customHeight="1">
      <x:c r="A44" s="88"/>
      <x:c r="B44" s="107"/>
      <x:c r="C44" s="107"/>
      <x:c r="D44" s="107"/>
      <x:c r="E44" s="107"/>
      <x:c r="F44" s="107"/>
      <x:c r="G44" s="107"/>
      <x:c r="H44" s="107"/>
      <x:c r="I44" s="107"/>
      <x:c r="J44" s="107"/>
    </x:row>
    <x:row r="45" ht="19" hidden="0" customHeight="1">
      <x:c r="A45" s="88"/>
      <x:c r="B45" s="107"/>
      <x:c r="C45" s="107"/>
      <x:c r="D45" s="107"/>
      <x:c r="E45" s="107"/>
      <x:c r="F45" s="107"/>
      <x:c r="G45" s="107"/>
      <x:c r="H45" s="107"/>
      <x:c r="I45" s="107"/>
      <x:c r="J45" s="107"/>
    </x:row>
    <x:row r="46" ht="19" hidden="0" customHeight="1">
      <x:c r="A46" s="88"/>
      <x:c r="B46" s="88"/>
      <x:c r="C46" s="88"/>
      <x:c r="D46" s="88"/>
      <x:c r="E46" s="88"/>
      <x:c r="F46" s="88"/>
      <x:c r="G46" s="88"/>
      <x:c r="H46" s="88"/>
      <x:c r="I46" s="88"/>
      <x:c r="J46" s="88"/>
    </x:row>
    <x:row r="47" ht="19" hidden="0" customHeight="1">
      <x:c r="A47" s="88"/>
      <x:c r="B47" s="107" t="str">
        <x:v>Peer and transaction reference figures are assumptions. Selected trading multiples drive valuation; the transaction reference list does not. Earlier historical periods provide context.</x:v>
      </x:c>
      <x:c r="C47" s="107"/>
      <x:c r="D47" s="107"/>
      <x:c r="E47" s="107"/>
      <x:c r="F47" s="107"/>
      <x:c r="G47" s="107"/>
      <x:c r="H47" s="107"/>
      <x:c r="I47" s="107"/>
      <x:c r="J47" s="107"/>
    </x:row>
    <x:row r="48" ht="19" hidden="0" customHeight="1">
      <x:c r="A48" s="88"/>
      <x:c r="B48" s="107"/>
      <x:c r="C48" s="107"/>
      <x:c r="D48" s="107"/>
      <x:c r="E48" s="107"/>
      <x:c r="F48" s="107"/>
      <x:c r="G48" s="107"/>
      <x:c r="H48" s="107"/>
      <x:c r="I48" s="107"/>
      <x:c r="J48" s="107"/>
    </x:row>
    <x:row r="49" ht="19" hidden="0" customHeight="1">
      <x:c r="A49" s="88"/>
      <x:c r="B49" s="107"/>
      <x:c r="C49" s="107"/>
      <x:c r="D49" s="107"/>
      <x:c r="E49" s="107"/>
      <x:c r="F49" s="107"/>
      <x:c r="G49" s="107"/>
      <x:c r="H49" s="107"/>
      <x:c r="I49" s="107"/>
      <x:c r="J49" s="107"/>
    </x:row>
    <x:row r="50" ht="19" hidden="0" customHeight="1">
      <x:c r="A50" s="88"/>
      <x:c r="B50" s="88"/>
      <x:c r="C50" s="88"/>
      <x:c r="D50" s="88"/>
      <x:c r="E50" s="88"/>
      <x:c r="F50" s="88"/>
      <x:c r="G50" s="88"/>
      <x:c r="H50" s="88"/>
      <x:c r="I50" s="88"/>
      <x:c r="J50" s="88"/>
    </x:row>
    <x:row r="51" ht="19" customHeight="1">
      <x:c r="A51" s="88"/>
      <x:c r="B51" s="107" t="str">
        <x:v>Share-count assumption: latest quarterly weighted-average shares represent the valuation-date denominator. Cash and debt use the stated balance-sheet date plus entered valuation adjustments.</x:v>
      </x:c>
      <x:c r="C51" s="107"/>
      <x:c r="D51" s="107"/>
      <x:c r="E51" s="107"/>
      <x:c r="F51" s="107"/>
      <x:c r="G51" s="107"/>
      <x:c r="H51" s="107"/>
      <x:c r="I51" s="107"/>
      <x:c r="J51" s="107"/>
    </x:row>
    <x:row r="52" ht="19" customHeight="1">
      <x:c r="A52" s="88"/>
      <x:c r="B52" s="107"/>
      <x:c r="C52" s="107"/>
      <x:c r="D52" s="107"/>
      <x:c r="E52" s="107"/>
      <x:c r="F52" s="107"/>
      <x:c r="G52" s="107"/>
      <x:c r="H52" s="107"/>
      <x:c r="I52" s="107"/>
      <x:c r="J52" s="107"/>
    </x:row>
    <x:row r="53" ht="19" customHeight="1">
      <x:c r="A53" s="88"/>
      <x:c r="B53" s="107"/>
      <x:c r="C53" s="107"/>
      <x:c r="D53" s="107"/>
      <x:c r="E53" s="107"/>
      <x:c r="F53" s="107"/>
      <x:c r="G53" s="107"/>
      <x:c r="H53" s="107"/>
      <x:c r="I53" s="107"/>
      <x:c r="J53" s="107"/>
    </x:row>
    <x:row r="54" ht="19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</x:row>
    <x:row r="55" ht="19" customHeight="1">
      <x:c r="A55" s="88"/>
      <x:c r="B55" s="107" t="str">
        <x:v>Price discipline: test the downside, set a ceiling before negotiating and keep buyer-created synergies separate from standalone value.</x:v>
      </x:c>
      <x:c r="C55" s="107"/>
      <x:c r="D55" s="107"/>
      <x:c r="E55" s="107"/>
      <x:c r="F55" s="107"/>
      <x:c r="G55" s="107"/>
      <x:c r="H55" s="107"/>
      <x:c r="I55" s="107"/>
      <x:c r="J55" s="107"/>
    </x:row>
    <x:row r="56" ht="19" customHeight="1">
      <x:c r="A56" s="88"/>
      <x:c r="B56" s="107"/>
      <x:c r="C56" s="107"/>
      <x:c r="D56" s="107"/>
      <x:c r="E56" s="107"/>
      <x:c r="F56" s="107"/>
      <x:c r="G56" s="107"/>
      <x:c r="H56" s="107"/>
      <x:c r="I56" s="107"/>
      <x:c r="J56" s="107"/>
    </x:row>
    <x:row r="57" ht="19" customHeight="1">
      <x:c r="A57" s="88"/>
      <x:c r="B57" s="107"/>
      <x:c r="C57" s="107"/>
      <x:c r="D57" s="107"/>
      <x:c r="E57" s="107"/>
      <x:c r="F57" s="107"/>
      <x:c r="G57" s="107"/>
      <x:c r="H57" s="107"/>
      <x:c r="I57" s="107"/>
      <x:c r="J57" s="107"/>
    </x:row>
    <x:row r="58" ht="19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</x:row>
    <x:row r="59" ht="19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</x:row>
    <x:row r="60" ht="19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</x:row>
    <x:row r="61" ht="19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</x:row>
    <x:row r="62" ht="19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</x:row>
    <x:row r="63" ht="19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</x:row>
    <x:row r="64" ht="19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</x:row>
    <x:row r="65" ht="19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</x:row>
    <x:row r="66" ht="19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</x:row>
    <x:row r="67" ht="19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</x:row>
    <x:row r="68" ht="19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</x:row>
    <x:row r="69" ht="19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</x:row>
    <x:row r="70" ht="19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</x:row>
    <x:row r="71" ht="19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</x:row>
  </x:sheetData>
  <x:mergeCells>
    <x:mergeCell ref="A1:J1"/>
    <x:mergeCell ref="A2:J3"/>
    <x:mergeCell ref="B5:J7"/>
    <x:mergeCell ref="B9:J11"/>
    <x:mergeCell ref="B13:J16"/>
    <x:mergeCell ref="B19:J21"/>
    <x:mergeCell ref="B23:J25"/>
    <x:mergeCell ref="B27:J29"/>
    <x:mergeCell ref="B31:J33"/>
    <x:mergeCell ref="B35:J37"/>
    <x:mergeCell ref="B39:J41"/>
    <x:mergeCell ref="B43:J45"/>
    <x:mergeCell ref="B47:J49"/>
    <x:mergeCell ref="B51:J53"/>
    <x:mergeCell ref="B55:J57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CHECKS | CALCULATIONS &amp; ASSUMPTIONS</x:v>
      </x:c>
      <x:c r="B1" s="134"/>
      <x:c r="C1" s="134"/>
      <x:c r="D1" s="134"/>
      <x:c r="E1" s="134"/>
      <x:c r="F1" s="134"/>
      <x:c r="G1" s="134"/>
      <x:c r="H1" s="134"/>
      <x:c r="I1" s="90"/>
      <x:c r="J1" s="90"/>
    </x:row>
    <x:row r="2" ht="19" hidden="0" customHeight="1">
      <x:c r="A2" s="136" t="str">
        <x:v>PASS / FAIL applies to calculation checks. ASSUMPTION identifies the model conventions shown below.</x:v>
      </x:c>
      <x:c r="B2" s="136"/>
      <x:c r="C2" s="136"/>
      <x:c r="D2" s="136"/>
      <x:c r="E2" s="136"/>
      <x:c r="F2" s="136"/>
      <x:c r="G2" s="136"/>
      <x:c r="H2" s="136"/>
      <x:c r="I2" s="92"/>
      <x:c r="J2" s="92"/>
    </x:row>
    <x:row r="3" ht="19" hidden="0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hidden="0" customHeight="1">
      <x:c r="A4" s="88"/>
      <x:c r="B4" s="111"/>
      <x:c r="C4" s="114"/>
      <x:c r="D4" s="114"/>
      <x:c r="E4" s="88"/>
      <x:c r="F4" s="88"/>
      <x:c r="G4" s="88"/>
      <x:c r="H4" s="88"/>
      <x:c r="I4" s="88"/>
      <x:c r="J4" s="88"/>
    </x:row>
    <x:row r="5" ht="19" hidden="0" customHeight="1">
      <x:c r="A5" s="88"/>
      <x:c r="B5" s="88" t="str">
        <x:v>Assertion</x:v>
      </x:c>
      <x:c r="C5" s="128" t="str">
        <x:v>Difference / value</x:v>
      </x:c>
      <x:c r="D5" s="114" t="str">
        <x:v>Expected</x:v>
      </x:c>
      <x:c r="E5" s="88" t="str">
        <x:v>Tolerance</x:v>
      </x:c>
      <x:c r="F5" s="88" t="str">
        <x:v>Status</x:v>
      </x:c>
      <x:c r="G5" s="88"/>
      <x:c r="H5" s="88"/>
      <x:c r="I5" s="88"/>
      <x:c r="J5" s="88"/>
    </x:row>
    <x:row r="6" ht="19" hidden="0" customHeight="1">
      <x:c r="A6" s="88"/>
      <x:c r="B6" s="88" t="str">
        <x:v>Opening assets tie to published total</x:v>
      </x:c>
      <x:c r="C6" s="195" t="n">
        <x:f aca="0">'Verified Inputs'!$C$67-'Verified Inputs'!$C$16</x:f>
        <x:v>0</x:v>
      </x:c>
      <x:c r="D6" s="145" t="n">
        <x:v>0</x:v>
      </x:c>
      <x:c r="E6" s="283" t="n">
        <x:v>0.0001</x:v>
      </x:c>
      <x:c r="F6" s="88" t="str">
        <x:f>IF(ABS(C6-D6)&lt;=E6,"PASS","FAIL")</x:f>
        <x:v>PASS</x:v>
      </x:c>
      <x:c r="G6" s="88"/>
      <x:c r="H6" s="88"/>
      <x:c r="I6" s="88"/>
      <x:c r="J6" s="88"/>
    </x:row>
    <x:row r="7" ht="19" hidden="0" customHeight="1">
      <x:c r="A7" s="88"/>
      <x:c r="B7" s="88" t="str">
        <x:v>Opening liabilities + equity tie</x:v>
      </x:c>
      <x:c r="C7" s="195" t="n">
        <x:f aca="0">'Verified Inputs'!$C$68-'Verified Inputs'!$C$16</x:f>
        <x:v>0</x:v>
      </x:c>
      <x:c r="D7" s="145" t="n">
        <x:v>0</x:v>
      </x:c>
      <x:c r="E7" s="283" t="n">
        <x:v>0.0001</x:v>
      </x:c>
      <x:c r="F7" s="88" t="str">
        <x:f>IF(ABS(C7-D7)&lt;=E7,"PASS","FAIL")</x:f>
        <x:v>PASS</x:v>
      </x:c>
      <x:c r="G7" s="88"/>
      <x:c r="H7" s="88"/>
      <x:c r="I7" s="88"/>
      <x:c r="J7" s="88"/>
    </x:row>
    <x:row r="8" ht="19" hidden="0" customHeight="1">
      <x:c r="A8" s="88"/>
      <x:c r="B8" s="88" t="str">
        <x:v>All forecast balance sheets tie</x:v>
      </x:c>
      <x:c r="C8" s="195" t="n">
        <x:f aca="0">MAX(ABS('Operating Forecast'!C81),ABS('Operating Forecast'!D81),ABS('Operating Forecast'!E81),ABS('Operating Forecast'!F81),ABS('Operating Forecast'!G81))</x:f>
        <x:v>1.4551915228366852e-11</x:v>
      </x:c>
      <x:c r="D8" s="145" t="n">
        <x:v>0</x:v>
      </x:c>
      <x:c r="E8" s="283" t="n">
        <x:v>0.0001</x:v>
      </x:c>
      <x:c r="F8" s="88" t="str">
        <x:f>IF(ABS(C8-D8)&lt;=E8,"PASS","FAIL")</x:f>
        <x:v>PASS</x:v>
      </x:c>
      <x:c r="G8" s="88"/>
      <x:c r="H8" s="88"/>
      <x:c r="I8" s="88"/>
      <x:c r="J8" s="88"/>
    </x:row>
    <x:row r="9" ht="19" hidden="0" customHeight="1">
      <x:c r="A9" s="88"/>
      <x:c r="B9" s="88" t="str">
        <x:v>Cash roll-forward in every year</x:v>
      </x:c>
      <x:c r="C9" s="195" t="n">
        <x:f aca="0">MAX(ABS('Operating Forecast'!C61-('Operating Forecast'!C50+'Operating Forecast'!C57+'Operating Forecast'!C58+'Operating Forecast'!C59+'Operating Forecast'!C60)),ABS('Operating Forecast'!D61-('Operating Forecast'!D50+'Operating Forecast'!D57+'Operating Forecast'!D58+'Operating Forecast'!D59+'Operating Forecast'!D60)),ABS('Operating Forecast'!E61-('Operating Forecast'!E50+'Operating Forecast'!E57+'Operating Forecast'!E58+'Operating Forecast'!E59+'Operating Forecast'!E60)),ABS('Operating Forecast'!F61-('Operating Forecast'!F50+'Operating Forecast'!F57+'Operating Forecast'!F58+'Operating Forecast'!F59+'Operating Forecast'!F60)),ABS('Operating Forecast'!G61-('Operating Forecast'!G50+'Operating Forecast'!G57+'Operating Forecast'!G58+'Operating Forecast'!G59+'Operating Forecast'!G60)))</x:f>
        <x:v>1.8189894035458565e-12</x:v>
      </x:c>
      <x:c r="D9" s="145" t="n">
        <x:v>0</x:v>
      </x:c>
      <x:c r="E9" s="283" t="n">
        <x:v>0.0001</x:v>
      </x:c>
      <x:c r="F9" s="88" t="str">
        <x:f>IF(ABS(C9-D9)&lt;=E9,"PASS","FAIL")</x:f>
        <x:v>PASS</x:v>
      </x:c>
      <x:c r="G9" s="88"/>
      <x:c r="H9" s="88"/>
      <x:c r="I9" s="88"/>
      <x:c r="J9" s="88"/>
    </x:row>
    <x:row r="10" ht="19" hidden="0" customHeight="1">
      <x:c r="A10" s="88"/>
      <x:c r="B10" s="88" t="str">
        <x:v>Debt roll-forward in every year</x:v>
      </x:c>
      <x:c r="C10" s="195" t="n">
        <x:f aca="0">MAX(ABS('Operating Forecast'!C49-'Operating Forecast'!C47-'Operating Forecast'!C48),ABS('Operating Forecast'!D49-'Operating Forecast'!D47-'Operating Forecast'!D48),ABS('Operating Forecast'!E49-'Operating Forecast'!E47-'Operating Forecast'!E48),ABS('Operating Forecast'!F49-'Operating Forecast'!F47-'Operating Forecast'!F48),ABS('Operating Forecast'!G49-'Operating Forecast'!G47-'Operating Forecast'!G48))</x:f>
        <x:v>0</x:v>
      </x:c>
      <x:c r="D10" s="145" t="n">
        <x:v>0</x:v>
      </x:c>
      <x:c r="E10" s="283" t="n">
        <x:v>0.0001</x:v>
      </x:c>
      <x:c r="F10" s="88" t="str">
        <x:f>IF(ABS(C10-D10)&lt;=E10,"PASS","FAIL")</x:f>
        <x:v>PASS</x:v>
      </x:c>
      <x:c r="G10" s="88"/>
      <x:c r="H10" s="88"/>
      <x:c r="I10" s="88"/>
      <x:c r="J10" s="88"/>
    </x:row>
    <x:row r="11" ht="19" hidden="0" customHeight="1">
      <x:c r="A11" s="88"/>
      <x:c r="B11" s="88" t="str">
        <x:v>Revenue equals its components</x:v>
      </x:c>
      <x:c r="C11" s="195" t="n">
        <x:f aca="0">MAX(ABS('Operating Forecast'!C12-'Operating Forecast'!C10-'Operating Forecast'!C11),ABS('Operating Forecast'!D12-'Operating Forecast'!D10-'Operating Forecast'!D11),ABS('Operating Forecast'!E12-'Operating Forecast'!E10-'Operating Forecast'!E11),ABS('Operating Forecast'!F12-'Operating Forecast'!F10-'Operating Forecast'!F11),ABS('Operating Forecast'!G12-'Operating Forecast'!G10-'Operating Forecast'!G11))</x:f>
        <x:v>0</x:v>
      </x:c>
      <x:c r="D11" s="145" t="n">
        <x:v>0</x:v>
      </x:c>
      <x:c r="E11" s="283" t="n">
        <x:v>0.0001</x:v>
      </x:c>
      <x:c r="F11" s="88" t="str">
        <x:f>IF(ABS(C11-D11)&lt;=E11,"PASS","FAIL")</x:f>
        <x:v>PASS</x:v>
      </x:c>
      <x:c r="G11" s="88"/>
      <x:c r="H11" s="88"/>
      <x:c r="I11" s="88"/>
      <x:c r="J11" s="88"/>
    </x:row>
    <x:row r="12" ht="19" hidden="0" customHeight="1">
      <x:c r="A12" s="88"/>
      <x:c r="B12" s="88" t="str">
        <x:v>First-year excludes realized H1 revenue</x:v>
      </x:c>
      <x:c r="C12" s="195" t="n">
        <x:f aca="0">'Operating Forecast'!C9-'Verified Inputs'!$C$36-'Operating Forecast'!C12</x:f>
        <x:v>0</x:v>
      </x:c>
      <x:c r="D12" s="145" t="n">
        <x:v>0</x:v>
      </x:c>
      <x:c r="E12" s="283" t="n">
        <x:v>0.0001</x:v>
      </x:c>
      <x:c r="F12" s="88" t="str">
        <x:f>IF(ABS(C12-D12)&lt;=E12,"PASS","FAIL")</x:f>
        <x:v>PASS</x:v>
      </x:c>
      <x:c r="G12" s="88"/>
      <x:c r="H12" s="88"/>
      <x:c r="I12" s="88"/>
      <x:c r="J12" s="88"/>
    </x:row>
    <x:row r="13" ht="19" hidden="0" customHeight="1">
      <x:c r="A13" s="88"/>
      <x:c r="B13" s="88" t="str">
        <x:v>DCF includes only future stub cash</x:v>
      </x:c>
      <x:c r="C13" s="195" t="n">
        <x:f aca="0">'DCF'!C17-'Operating Forecast'!C90*'DCF'!C16</x:f>
        <x:v>0</x:v>
      </x:c>
      <x:c r="D13" s="145" t="n">
        <x:v>0</x:v>
      </x:c>
      <x:c r="E13" s="283" t="n">
        <x:v>0.0001</x:v>
      </x:c>
      <x:c r="F13" s="88" t="str">
        <x:f>IF(ABS(C13-D13)&lt;=E13,"PASS","FAIL")</x:f>
        <x:v>PASS</x:v>
      </x:c>
      <x:c r="G13" s="88"/>
      <x:c r="H13" s="88"/>
      <x:c r="I13" s="88"/>
      <x:c r="J13" s="88"/>
    </x:row>
    <x:row r="14" ht="19" hidden="0" customHeight="1">
      <x:c r="A14" s="88"/>
      <x:c r="B14" s="88" t="str">
        <x:v>DCF equity bridge ties</x:v>
      </x:c>
      <x:c r="C14" s="106" t="n">
        <x:f>'DCF'!C51-('DCF'!C35+'Verified Inputs'!$C$60-'Verified Inputs'!$C$61+'Verified Inputs'!$C$15)</x:f>
        <x:v>0</x:v>
      </x:c>
      <x:c r="D14" s="98" t="n">
        <x:v>0</x:v>
      </x:c>
      <x:c r="E14" s="283" t="n">
        <x:v>0.0001</x:v>
      </x:c>
      <x:c r="F14" s="88" t="str">
        <x:f>IF(ABS(C14-D14)&lt;=E14,"PASS","FAIL")</x:f>
        <x:v>PASS</x:v>
      </x:c>
      <x:c r="G14" s="88"/>
      <x:c r="H14" s="88"/>
      <x:c r="I14" s="88"/>
      <x:c r="J14" s="88"/>
    </x:row>
    <x:row r="15" ht="19" hidden="0" customHeight="1">
      <x:c r="A15" s="88"/>
      <x:c r="B15" s="111" t="str">
        <x:v>WACC exceeds terminal growth</x:v>
      </x:c>
      <x:c r="C15" s="106" t="n">
        <x:f>'DCF'!C9-'DCF'!C10</x:f>
        <x:v>0.06273788417694831</x:v>
      </x:c>
      <x:c r="D15" s="145" t="n">
        <x:v>0</x:v>
      </x:c>
      <x:c r="E15" s="283" t="n">
        <x:v>0</x:v>
      </x:c>
      <x:c r="F15" s="88" t="str">
        <x:f>IF(C15&gt;D15,"PASS","FAIL")</x:f>
        <x:v>PASS</x:v>
      </x:c>
      <x:c r="G15" s="88"/>
      <x:c r="H15" s="88"/>
      <x:c r="I15" s="88"/>
      <x:c r="J15" s="88"/>
    </x:row>
    <x:row r="16" ht="19" hidden="0" customHeight="1">
      <x:c r="A16" s="88"/>
      <x:c r="B16" s="88" t="str">
        <x:v>Shares remain positive</x:v>
      </x:c>
      <x:c r="C16" s="106" t="n">
        <x:f>MIN('Verified Inputs'!$C$8,'Operating Forecast'!C43,'Operating Forecast'!D43,'Operating Forecast'!E43,'Operating Forecast'!F43,'Operating Forecast'!G43)</x:f>
        <x:v>710.3644894902109</x:v>
      </x:c>
      <x:c r="D16" s="98" t="n">
        <x:v>0</x:v>
      </x:c>
      <x:c r="E16" s="283" t="n">
        <x:v>0</x:v>
      </x:c>
      <x:c r="F16" s="88" t="str">
        <x:f>IF(C16&gt;D16,"PASS","FAIL")</x:f>
        <x:v>PASS</x:v>
      </x:c>
      <x:c r="G16" s="88"/>
      <x:c r="H16" s="88"/>
      <x:c r="I16" s="88"/>
      <x:c r="J16" s="88"/>
    </x:row>
    <x:row r="17" ht="19" hidden="0" customHeight="1">
      <x:c r="A17" s="88"/>
      <x:c r="B17" s="125" t="str">
        <x:v>Operating cash stays above reserve</x:v>
      </x:c>
      <x:c r="C17" s="106" t="n">
        <x:f>MAX('Operating Forecast'!C94,'Operating Forecast'!D94,'Operating Forecast'!E94,'Operating Forecast'!F94,'Operating Forecast'!G94)</x:f>
        <x:v>0</x:v>
      </x:c>
      <x:c r="D17" s="98" t="n">
        <x:v>0</x:v>
      </x:c>
      <x:c r="E17" s="283" t="n">
        <x:v>0.0001</x:v>
      </x:c>
      <x:c r="F17" s="88" t="str">
        <x:f>IF(ABS(C17-D17)&lt;=E17,"PASS","FAIL")</x:f>
        <x:v>PASS</x:v>
      </x:c>
      <x:c r="G17" s="88"/>
      <x:c r="H17" s="88"/>
      <x:c r="I17" s="88"/>
      <x:c r="J17" s="88"/>
    </x:row>
    <x:row r="18" ht="19" hidden="0" customHeight="1">
      <x:c r="A18" s="88"/>
      <x:c r="B18" s="125" t="str">
        <x:v>Buyer debt carries between years</x:v>
      </x:c>
      <x:c r="C18" s="106" t="n">
        <x:f>MAX(ABS('Acquisition Returns'!D23-'Acquisition Returns'!C28),ABS('Acquisition Returns'!E23-'Acquisition Returns'!D28),ABS('Acquisition Returns'!F23-'Acquisition Returns'!E28),ABS('Acquisition Returns'!G23-'Acquisition Returns'!F28))</x:f>
        <x:v>0</x:v>
      </x:c>
      <x:c r="D18" s="98" t="n">
        <x:v>0</x:v>
      </x:c>
      <x:c r="E18" s="283" t="n">
        <x:v>0.0001</x:v>
      </x:c>
      <x:c r="F18" s="88" t="str">
        <x:f>IF(ABS(C18-D18)&lt;=E18,"PASS","FAIL")</x:f>
        <x:v>PASS</x:v>
      </x:c>
      <x:c r="G18" s="88"/>
      <x:c r="H18" s="88"/>
      <x:c r="I18" s="88"/>
      <x:c r="J18" s="88"/>
    </x:row>
    <x:row r="19" ht="19" hidden="0" customHeight="1">
      <x:c r="A19" s="88"/>
      <x:c r="B19" s="125" t="str">
        <x:v>Buyer debt roll-forward every year</x:v>
      </x:c>
      <x:c r="C19" s="106" t="n">
        <x:f>MAX(ABS('Acquisition Returns'!C28-('Acquisition Returns'!C23-'Acquisition Returns'!C26+'Acquisition Returns'!C27)),ABS('Acquisition Returns'!D28-('Acquisition Returns'!D23-'Acquisition Returns'!D26+'Acquisition Returns'!D27)),ABS('Acquisition Returns'!E28-('Acquisition Returns'!E23-'Acquisition Returns'!E26+'Acquisition Returns'!E27)),ABS('Acquisition Returns'!F28-('Acquisition Returns'!F23-'Acquisition Returns'!F26+'Acquisition Returns'!F27)),ABS('Acquisition Returns'!G28-('Acquisition Returns'!G23-'Acquisition Returns'!G26+'Acquisition Returns'!G27)))</x:f>
        <x:v>0</x:v>
      </x:c>
      <x:c r="D19" s="98" t="n">
        <x:v>0</x:v>
      </x:c>
      <x:c r="E19" s="283" t="n">
        <x:v>0.0001</x:v>
      </x:c>
      <x:c r="F19" s="88" t="str">
        <x:f>IF(ABS(C19-D19)&lt;=E19,"PASS","FAIL")</x:f>
        <x:v>PASS</x:v>
      </x:c>
      <x:c r="G19" s="88"/>
      <x:c r="H19" s="88"/>
      <x:c r="I19" s="88"/>
      <x:c r="J19" s="88"/>
    </x:row>
    <x:row r="20" ht="19" hidden="0" customHeight="1">
      <x:c r="A20" s="88"/>
      <x:c r="B20" s="125" t="str">
        <x:v>Buyer needs no uncommitted new financing</x:v>
      </x:c>
      <x:c r="C20" s="106" t="n">
        <x:f>'Acquisition Returns'!C54</x:f>
        <x:v>0</x:v>
      </x:c>
      <x:c r="D20" s="98" t="n">
        <x:v>0</x:v>
      </x:c>
      <x:c r="E20" s="283" t="n">
        <x:v>0.0001</x:v>
      </x:c>
      <x:c r="F20" s="88" t="str">
        <x:f>IF(ABS(C20-D20)&lt;=E20,"PASS","FAIL")</x:f>
        <x:v>PASS</x:v>
      </x:c>
      <x:c r="G20" s="88"/>
      <x:c r="H20" s="88"/>
      <x:c r="I20" s="88"/>
      <x:c r="J20" s="88"/>
    </x:row>
    <x:row r="21" ht="19" hidden="0" customHeight="1">
      <x:c r="A21" s="88"/>
      <x:c r="B21" s="88" t="str">
        <x:v>Buyer interest coverage exceeds 1.0x</x:v>
      </x:c>
      <x:c r="C21" s="106" t="n">
        <x:f>'Acquisition Returns'!C53</x:f>
        <x:v>4.480553464158051</x:v>
      </x:c>
      <x:c r="D21" s="98" t="n">
        <x:v>1</x:v>
      </x:c>
      <x:c r="E21" s="283" t="n">
        <x:v>0</x:v>
      </x:c>
      <x:c r="F21" s="88" t="str">
        <x:f>IF(C21&gt;=D21,"PASS","FAIL")</x:f>
        <x:v>PASS</x:v>
      </x:c>
      <x:c r="G21" s="88"/>
      <x:c r="H21" s="88"/>
      <x:c r="I21" s="88"/>
      <x:c r="J21" s="88"/>
    </x:row>
    <x:row r="22" ht="19" hidden="0" customHeight="1">
      <x:c r="A22" s="88"/>
      <x:c r="B22" s="88" t="str">
        <x:v>Buyer equity contribution is positive</x:v>
      </x:c>
      <x:c r="C22" s="106" t="n">
        <x:f>'Acquisition Returns'!C17</x:f>
        <x:v>256928.98325000005</x:v>
      </x:c>
      <x:c r="D22" s="98" t="n">
        <x:v>0</x:v>
      </x:c>
      <x:c r="E22" s="283" t="n">
        <x:v>0</x:v>
      </x:c>
      <x:c r="F22" s="88" t="str">
        <x:f>IF(C22&gt;D22,"PASS","FAIL")</x:f>
        <x:v>PASS</x:v>
      </x:c>
      <x:c r="G22" s="88"/>
      <x:c r="H22" s="88"/>
      <x:c r="I22" s="88"/>
      <x:c r="J22" s="88"/>
    </x:row>
    <x:row r="23" ht="19" hidden="0" customHeight="1">
      <x:c r="A23" s="88"/>
      <x:c r="B23" s="88" t="str">
        <x:v>Hurdle price includes fees at solved EV</x:v>
      </x:c>
      <x:c r="C23" s="106" t="n">
        <x:f>'Acquisition Returns'!C47*(1+'Acquisition Returns'!C15)-'Acquisition Returns'!C14-'Acquisition Returns'!C46</x:f>
        <x:v>-1.4551915228366852e-11</x:v>
      </x:c>
      <x:c r="D23" s="98" t="n">
        <x:v>0</x:v>
      </x:c>
      <x:c r="E23" s="283" t="n">
        <x:v>0.0001</x:v>
      </x:c>
      <x:c r="F23" s="88" t="str">
        <x:f>IF(ABS(C23-D23)&lt;=E23,"PASS","FAIL")</x:f>
        <x:v>PASS</x:v>
      </x:c>
      <x:c r="G23" s="88"/>
      <x:c r="H23" s="88"/>
      <x:c r="I23" s="88"/>
      <x:c r="J23" s="88"/>
    </x:row>
    <x:row r="24" ht="19" hidden="0" customHeight="1">
      <x:c r="A24" s="88"/>
      <x:c r="B24" s="88" t="str">
        <x:v>Selected multiple bounds are ordered</x:v>
      </x:c>
      <x:c r="C24" s="106" t="n">
        <x:f>MIN('Assumptions'!$C$36-'Assumptions'!$C$35,'Assumptions'!$C$38-'Assumptions'!$C$37)</x:f>
        <x:v>2</x:v>
      </x:c>
      <x:c r="D24" s="98" t="n">
        <x:v>0</x:v>
      </x:c>
      <x:c r="E24" s="283" t="n">
        <x:v>0</x:v>
      </x:c>
      <x:c r="F24" s="88" t="str">
        <x:f>IF(C24&gt;=D24,"PASS","FAIL")</x:f>
        <x:v>PASS</x:v>
      </x:c>
      <x:c r="G24" s="88"/>
      <x:c r="H24" s="88"/>
      <x:c r="I24" s="88"/>
      <x:c r="J24" s="88"/>
    </x:row>
    <x:row r="25" ht="19" hidden="0" customHeight="1">
      <x:c r="A25" s="88"/>
      <x:c r="B25" s="88" t="str">
        <x:v>Higher WACC lowers DCF value</x:v>
      </x:c>
      <x:c r="C25" s="106" t="n">
        <x:f>'Sensitivities'!E6-'Sensitivities'!E10</x:f>
        <x:v>133.07257853314695</x:v>
      </x:c>
      <x:c r="D25" s="98" t="n">
        <x:v>0</x:v>
      </x:c>
      <x:c r="E25" s="283" t="n">
        <x:v>0</x:v>
      </x:c>
      <x:c r="F25" s="88" t="str">
        <x:f>IF(C25&gt;D25,"PASS","FAIL")</x:f>
        <x:v>PASS</x:v>
      </x:c>
      <x:c r="G25" s="88"/>
      <x:c r="H25" s="88"/>
      <x:c r="I25" s="88"/>
      <x:c r="J25" s="88"/>
    </x:row>
    <x:row r="26" ht="19" hidden="0" customHeight="1">
      <x:c r="A26" s="88"/>
      <x:c r="B26" s="88" t="str">
        <x:v>Higher exit multiple raises value</x:v>
      </x:c>
      <x:c r="C26" s="106" t="n">
        <x:f>'Sensitivities'!G17-'Sensitivities'!C17</x:f>
        <x:v>73.46949008462272</x:v>
      </x:c>
      <x:c r="D26" s="98" t="n">
        <x:v>0</x:v>
      </x:c>
      <x:c r="E26" s="283" t="n">
        <x:v>0</x:v>
      </x:c>
      <x:c r="F26" s="88" t="str">
        <x:f>IF(C26&gt;D26,"PASS","FAIL")</x:f>
        <x:v>PASS</x:v>
      </x:c>
      <x:c r="G26" s="88"/>
      <x:c r="H26" s="88"/>
      <x:c r="I26" s="88"/>
      <x:c r="J26" s="88"/>
    </x:row>
    <x:row r="27" ht="19" hidden="0" customHeight="1">
      <x:c r="A27" s="88"/>
      <x:c r="B27" s="88" t="str">
        <x:v>Scenario is 1, 2 or 3</x:v>
      </x:c>
      <x:c r="C27" s="106" t="n">
        <x:f>IF(OR('Assumptions'!C5=1,'Assumptions'!C5=2,'Assumptions'!C5=3),0,1)</x:f>
        <x:v>0</x:v>
      </x:c>
      <x:c r="D27" s="98" t="n">
        <x:v>0</x:v>
      </x:c>
      <x:c r="E27" s="283" t="n">
        <x:v>0.0001</x:v>
      </x:c>
      <x:c r="F27" s="88" t="str">
        <x:f>IF(ABS(C27-D27)&lt;=E27,"PASS","FAIL")</x:f>
        <x:v>PASS</x:v>
      </x:c>
      <x:c r="G27" s="88"/>
      <x:c r="H27" s="88"/>
      <x:c r="I27" s="88"/>
      <x:c r="J27" s="88"/>
    </x:row>
    <x:row r="28" ht="19" hidden="0" customHeight="1">
      <x:c r="A28" s="88"/>
      <x:c r="B28" s="88" t="str">
        <x:v>SBC / FCF bridge ties</x:v>
      </x:c>
      <x:c r="C28" s="106" t="n">
        <x:f>MAX(ABS('KPIs &amp; SBC-FCF'!C18),ABS('KPIs &amp; SBC-FCF'!D18),ABS('KPIs &amp; SBC-FCF'!E18),ABS('KPIs &amp; SBC-FCF'!F18),ABS('KPIs &amp; SBC-FCF'!G18))</x:f>
        <x:v>1.8189894035458565e-12</x:v>
      </x:c>
      <x:c r="D28" s="98" t="n">
        <x:v>0</x:v>
      </x:c>
      <x:c r="E28" s="283" t="n">
        <x:v>0.0001</x:v>
      </x:c>
      <x:c r="F28" s="88" t="str">
        <x:f>IF(ABS(C28-D28)&lt;=E28,"PASS","FAIL")</x:f>
        <x:v>PASS</x:v>
      </x:c>
      <x:c r="G28" s="88"/>
      <x:c r="H28" s="88"/>
      <x:c r="I28" s="88"/>
      <x:c r="J28" s="88"/>
    </x:row>
    <x:row r="29" ht="19" hidden="0" customHeight="1">
      <x:c r="A29" s="88"/>
      <x:c r="B29" s="88" t="str">
        <x:v>FY GAAP operating income source tied</x:v>
      </x:c>
      <x:c r="C29" s="106" t="n">
        <x:f>'Historical Financials'!G12-'Verified Inputs'!$C$31</x:f>
        <x:v>0</x:v>
      </x:c>
      <x:c r="D29" s="98" t="n">
        <x:v>0</x:v>
      </x:c>
      <x:c r="E29" s="283" t="n">
        <x:v>0.0001</x:v>
      </x:c>
      <x:c r="F29" s="88" t="str">
        <x:f>IF(ABS(C29-D29)&lt;=E29,"PASS","FAIL")</x:f>
        <x:v>PASS</x:v>
      </x:c>
      <x:c r="G29" s="88"/>
      <x:c r="H29" s="88"/>
      <x:c r="I29" s="88"/>
      <x:c r="J29" s="88"/>
    </x:row>
    <x:row r="30" ht="19" hidden="0" customHeight="1">
      <x:c r="A30" s="88"/>
      <x:c r="B30" s="88"/>
      <x:c r="C30" s="88"/>
      <x:c r="D30" s="88"/>
      <x:c r="E30" s="88"/>
      <x:c r="F30" s="88"/>
      <x:c r="G30" s="88"/>
      <x:c r="H30" s="88"/>
      <x:c r="I30" s="88"/>
      <x:c r="J30" s="88"/>
    </x:row>
    <x:row r="31" ht="19" hidden="0" customHeight="1">
      <x:c r="A31" s="88"/>
      <x:c r="B31" s="88"/>
      <x:c r="C31" s="88"/>
      <x:c r="D31" s="88"/>
      <x:c r="E31" s="88"/>
      <x:c r="F31" s="88"/>
      <x:c r="G31" s="88"/>
      <x:c r="H31" s="88"/>
      <x:c r="I31" s="88"/>
      <x:c r="J31" s="88"/>
    </x:row>
    <x:row r="32" ht="19" hidden="0" customHeight="1">
      <x:c r="A32" s="88"/>
      <x:c r="B32" s="88"/>
      <x:c r="C32" s="88"/>
      <x:c r="D32" s="88"/>
      <x:c r="E32" s="88"/>
      <x:c r="F32" s="88"/>
      <x:c r="G32" s="88"/>
      <x:c r="H32" s="88"/>
      <x:c r="I32" s="88"/>
      <x:c r="J32" s="88"/>
    </x:row>
    <x:row r="33" ht="19" hidden="0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</x:row>
    <x:row r="34" ht="19" hidden="0" customHeight="1">
      <x:c r="A34" s="88"/>
      <x:c r="B34" s="88" t="str">
        <x:v>Calculation status</x:v>
      </x:c>
      <x:c r="C34" s="88"/>
      <x:c r="D34" s="88"/>
      <x:c r="E34" s="88"/>
      <x:c r="F34" s="88" t="str">
        <x:f>IF(SUMPRODUCT(--ISERROR(F6:F29))+COUNTIF(F6:F29,"FAIL")=0,"PASS","FAIL")</x:f>
        <x:v>PASS</x:v>
      </x:c>
      <x:c r="G34" s="88"/>
      <x:c r="H34" s="88"/>
      <x:c r="I34" s="88"/>
      <x:c r="J34" s="88"/>
    </x:row>
    <x:row r="35" ht="19" hidden="0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</x:row>
    <x:row r="36" ht="19" hidden="0" customHeight="1">
      <x:c r="A36" s="88"/>
      <x:c r="B36" s="88"/>
      <x:c r="C36" s="88"/>
      <x:c r="D36" s="88"/>
      <x:c r="E36" s="88"/>
      <x:c r="F36" s="88"/>
      <x:c r="G36" s="88"/>
      <x:c r="H36" s="88"/>
      <x:c r="I36" s="88"/>
      <x:c r="J36" s="88"/>
    </x:row>
    <x:row r="37" ht="24" hidden="0" customHeight="1">
      <x:c r="A37" s="88"/>
      <x:c r="B37" s="105" t="str">
        <x:v>Model assumptions</x:v>
      </x:c>
      <x:c r="C37" s="105"/>
      <x:c r="D37" s="105"/>
      <x:c r="E37" s="105"/>
      <x:c r="F37" s="105"/>
      <x:c r="G37" s="105"/>
      <x:c r="H37" s="105"/>
      <x:c r="I37" s="105"/>
      <x:c r="J37" s="105"/>
    </x:row>
    <x:row r="38" ht="19" hidden="0" customHeight="1">
      <x:c r="A38" s="88"/>
      <x:c r="B38" s="88"/>
      <x:c r="C38" s="88"/>
      <x:c r="D38" s="88"/>
      <x:c r="E38" s="88"/>
      <x:c r="F38" s="88"/>
      <x:c r="G38" s="88"/>
      <x:c r="H38" s="88"/>
      <x:c r="I38" s="88"/>
      <x:c r="J38" s="88"/>
    </x:row>
    <x:row r="39" ht="19" hidden="0" customHeight="1">
      <x:c r="A39" s="88"/>
      <x:c r="B39" s="88" t="str">
        <x:v>Valuation-day balances and dilution</x:v>
      </x:c>
      <x:c r="C39" s="285" t="n">
        <x:f>'Verified Inputs'!$C$53</x:f>
        <x:v>0</x:v>
      </x:c>
      <x:c r="D39" s="88"/>
      <x:c r="E39" s="88"/>
      <x:c r="F39" s="88" t="str">
        <x:f>IF(C39=1,"INPUT","ASSUMPTION")</x:f>
        <x:v>ASSUMPTION</x:v>
      </x:c>
      <x:c r="G39" s="88"/>
      <x:c r="H39" s="88"/>
      <x:c r="I39" s="88"/>
      <x:c r="J39" s="88"/>
    </x:row>
    <x:row r="40" ht="19" hidden="0" customHeight="1">
      <x:c r="A40" s="88"/>
      <x:c r="B40" s="88" t="str">
        <x:v>Peer reference basis</x:v>
      </x:c>
      <x:c r="C40" s="285" t="n">
        <x:f>'Verified Inputs'!$C$54</x:f>
        <x:v>0</x:v>
      </x:c>
      <x:c r="D40" s="88"/>
      <x:c r="E40" s="88"/>
      <x:c r="F40" s="88" t="str">
        <x:f>IF(C40=1,"INPUT","ASSUMPTION")</x:f>
        <x:v>ASSUMPTION</x:v>
      </x:c>
      <x:c r="G40" s="88"/>
      <x:c r="H40" s="88"/>
      <x:c r="I40" s="88"/>
      <x:c r="J40" s="88"/>
    </x:row>
    <x:row r="41" ht="19" hidden="0" customHeight="1">
      <x:c r="A41" s="88"/>
      <x:c r="B41" s="88" t="str">
        <x:v>Cash-flow timing basis</x:v>
      </x:c>
      <x:c r="C41" s="285" t="n">
        <x:f>'Verified Inputs'!$C$55</x:f>
        <x:v>0</x:v>
      </x:c>
      <x:c r="D41" s="88"/>
      <x:c r="E41" s="88"/>
      <x:c r="F41" s="88" t="str">
        <x:f>IF(C41=1,"INPUT","ASSUMPTION")</x:f>
        <x:v>ASSUMPTION</x:v>
      </x:c>
      <x:c r="G41" s="88"/>
      <x:c r="H41" s="88"/>
      <x:c r="I41" s="88"/>
      <x:c r="J41" s="88"/>
    </x:row>
    <x:row r="42" ht="19" hidden="0" customHeight="1">
      <x:c r="A42" s="88"/>
      <x:c r="B42" s="88" t="str">
        <x:v>Refinancing basis</x:v>
      </x:c>
      <x:c r="C42" s="285" t="n">
        <x:f>'Verified Inputs'!$C$56</x:f>
        <x:v>0</x:v>
      </x:c>
      <x:c r="D42" s="88"/>
      <x:c r="E42" s="88"/>
      <x:c r="F42" s="88" t="str">
        <x:f>IF(C42=1,"INPUT","ASSUMPTION")</x:f>
        <x:v>ASSUMPTION</x:v>
      </x:c>
      <x:c r="G42" s="88"/>
      <x:c r="H42" s="88"/>
      <x:c r="I42" s="88"/>
      <x:c r="J42" s="88"/>
    </x:row>
    <x:row r="43" ht="19" hidden="0" customHeight="1">
      <x:c r="A43" s="88"/>
      <x:c r="B43" s="88"/>
      <x:c r="C43" s="88"/>
      <x:c r="D43" s="88"/>
      <x:c r="E43" s="88"/>
      <x:c r="F43" s="88"/>
      <x:c r="G43" s="88"/>
      <x:c r="H43" s="88"/>
      <x:c r="I43" s="88"/>
      <x:c r="J43" s="88"/>
    </x:row>
    <x:row r="44" ht="19" hidden="0" customHeight="1">
      <x:c r="A44" s="88"/>
      <x:c r="B44" s="88" t="str">
        <x:v>Terminal cash concentration</x:v>
      </x:c>
      <x:c r="C44" s="231" t="n">
        <x:f>'DCF'!C36</x:f>
        <x:v>0.7435800302666608</x:v>
      </x:c>
      <x:c r="D44" s="88"/>
      <x:c r="E44" s="88"/>
      <x:c r="F44" s="88" t="str">
        <x:f>IF(C44&lt;=0.85,"PASS","ASSUMPTION")</x:f>
        <x:v>PASS</x:v>
      </x:c>
      <x:c r="G44" s="88"/>
      <x:c r="H44" s="88"/>
      <x:c r="I44" s="88"/>
      <x:c r="J44" s="88"/>
    </x:row>
    <x:row r="45" ht="19" hidden="0" customHeight="1">
      <x:c r="A45" s="88"/>
      <x:c r="B45" s="88"/>
      <x:c r="C45" s="88"/>
      <x:c r="D45" s="88"/>
      <x:c r="E45" s="88"/>
      <x:c r="F45" s="88"/>
      <x:c r="G45" s="88"/>
      <x:c r="H45" s="88"/>
      <x:c r="I45" s="88"/>
      <x:c r="J45" s="88"/>
    </x:row>
    <x:row r="46" ht="19" hidden="0" customHeight="1">
      <x:c r="A46" s="88"/>
      <x:c r="B46" s="88" t="str">
        <x:v>Model basis</x:v>
      </x:c>
      <x:c r="C46" s="88"/>
      <x:c r="D46" s="88"/>
      <x:c r="E46" s="88"/>
      <x:c r="F46" s="88" t="str">
        <x:f>IF(F34="FAIL","FAIL",IF(COUNTIF(F39:F44,"ASSUMPTION")&gt;0,"ASSUMPTION","INPUT"))</x:f>
        <x:v>ASSUMPTION</x:v>
      </x:c>
      <x:c r="G46" s="88"/>
      <x:c r="H46" s="88"/>
      <x:c r="I46" s="88"/>
      <x:c r="J46" s="88"/>
    </x:row>
    <x:row r="47" ht="19" hidden="0" customHeight="1">
      <x:c r="A47" s="88"/>
      <x:c r="B47" s="88"/>
      <x:c r="C47" s="88"/>
      <x:c r="D47" s="88"/>
      <x:c r="E47" s="88"/>
      <x:c r="F47" s="88"/>
      <x:c r="G47" s="88"/>
      <x:c r="H47" s="88"/>
      <x:c r="I47" s="88"/>
      <x:c r="J47" s="88"/>
    </x:row>
    <x:row r="48" ht="19" hidden="0" customHeight="1">
      <x:c r="A48" s="88"/>
      <x:c r="B48" s="88"/>
      <x:c r="C48" s="88"/>
      <x:c r="D48" s="88"/>
      <x:c r="E48" s="88"/>
      <x:c r="F48" s="88"/>
      <x:c r="G48" s="88"/>
      <x:c r="H48" s="88"/>
      <x:c r="I48" s="88"/>
      <x:c r="J48" s="88"/>
    </x:row>
    <x:row r="49" ht="19" hidden="0" customHeight="1">
      <x:c r="A49" s="88"/>
      <x:c r="B49" s="88"/>
      <x:c r="C49" s="88"/>
      <x:c r="D49" s="88"/>
      <x:c r="E49" s="88"/>
      <x:c r="F49" s="88"/>
      <x:c r="G49" s="88"/>
      <x:c r="H49" s="88"/>
      <x:c r="I49" s="88"/>
      <x:c r="J49" s="88"/>
    </x:row>
    <x:row r="50" ht="19" hidden="0" customHeight="1">
      <x:c r="A50" s="88"/>
      <x:c r="B50" s="107" t="str">
        <x:v>Assumption indicators use 0 for the stated model convention and 1 for a separately supplied input basis. Financial calculation checks remain independent.</x:v>
      </x:c>
      <x:c r="C50" s="107"/>
      <x:c r="D50" s="107"/>
      <x:c r="E50" s="107"/>
      <x:c r="F50" s="107"/>
      <x:c r="G50" s="107"/>
      <x:c r="H50" s="107"/>
      <x:c r="I50" s="107"/>
      <x:c r="J50" s="107"/>
    </x:row>
    <x:row r="51" ht="19" customHeight="1">
      <x:c r="A51" s="88"/>
      <x:c r="B51" s="107"/>
      <x:c r="C51" s="107"/>
      <x:c r="D51" s="107"/>
      <x:c r="E51" s="107"/>
      <x:c r="F51" s="107"/>
      <x:c r="G51" s="107"/>
      <x:c r="H51" s="107"/>
      <x:c r="I51" s="107"/>
      <x:c r="J51" s="107"/>
    </x:row>
    <x:row r="52" ht="19" customHeight="1">
      <x:c r="A52" s="88"/>
      <x:c r="B52" s="107"/>
      <x:c r="C52" s="107"/>
      <x:c r="D52" s="107"/>
      <x:c r="E52" s="107"/>
      <x:c r="F52" s="107"/>
      <x:c r="G52" s="107"/>
      <x:c r="H52" s="107"/>
      <x:c r="I52" s="107"/>
      <x:c r="J52" s="107"/>
    </x:row>
    <x:row r="53" ht="19" customHeight="1">
      <x:c r="A53" s="88"/>
      <x:c r="B53" s="88"/>
      <x:c r="C53" s="88"/>
      <x:c r="D53" s="88"/>
      <x:c r="E53" s="88"/>
      <x:c r="F53" s="88"/>
      <x:c r="G53" s="88"/>
      <x:c r="H53" s="88"/>
      <x:c r="I53" s="88"/>
      <x:c r="J53" s="88"/>
    </x:row>
    <x:row r="54" ht="19" customHeight="1">
      <x:c r="A54" s="88"/>
      <x:c r="B54" s="88"/>
      <x:c r="C54" s="88"/>
      <x:c r="D54" s="88"/>
      <x:c r="E54" s="88"/>
      <x:c r="F54" s="88"/>
      <x:c r="G54" s="88"/>
      <x:c r="H54" s="88"/>
      <x:c r="I54" s="88"/>
      <x:c r="J54" s="88"/>
    </x:row>
    <x:row r="55" ht="19" customHeight="1">
      <x:c r="A55" s="88"/>
      <x:c r="B55" s="107" t="str">
        <x:v>Cash, interest coverage, financing needs, WACC and roll-forward checks apply in every scenario. Test the downside before using the buyer price ceiling.</x:v>
      </x:c>
      <x:c r="C55" s="107"/>
      <x:c r="D55" s="107"/>
      <x:c r="E55" s="107"/>
      <x:c r="F55" s="107"/>
      <x:c r="G55" s="107"/>
      <x:c r="H55" s="107"/>
      <x:c r="I55" s="107"/>
      <x:c r="J55" s="107"/>
    </x:row>
    <x:row r="56" ht="19" customHeight="1">
      <x:c r="A56" s="88"/>
      <x:c r="B56" s="107"/>
      <x:c r="C56" s="107"/>
      <x:c r="D56" s="107"/>
      <x:c r="E56" s="107"/>
      <x:c r="F56" s="107"/>
      <x:c r="G56" s="107"/>
      <x:c r="H56" s="107"/>
      <x:c r="I56" s="107"/>
      <x:c r="J56" s="107"/>
    </x:row>
    <x:row r="57" ht="19" customHeight="1">
      <x:c r="A57" s="88"/>
      <x:c r="B57" s="107"/>
      <x:c r="C57" s="107"/>
      <x:c r="D57" s="107"/>
      <x:c r="E57" s="107"/>
      <x:c r="F57" s="107"/>
      <x:c r="G57" s="107"/>
      <x:c r="H57" s="107"/>
      <x:c r="I57" s="107"/>
      <x:c r="J57" s="107"/>
    </x:row>
    <x:row r="58" ht="19" customHeight="1">
      <x:c r="A58" s="88"/>
      <x:c r="B58" s="88"/>
      <x:c r="C58" s="88"/>
      <x:c r="D58" s="88"/>
      <x:c r="E58" s="88"/>
      <x:c r="F58" s="88"/>
      <x:c r="G58" s="88"/>
      <x:c r="H58" s="88"/>
      <x:c r="I58" s="88"/>
      <x:c r="J58" s="88"/>
    </x:row>
    <x:row r="59" ht="19" customHeight="1">
      <x:c r="A59" s="88"/>
      <x:c r="B59" s="88"/>
      <x:c r="C59" s="88"/>
      <x:c r="D59" s="88"/>
      <x:c r="E59" s="88"/>
      <x:c r="F59" s="88"/>
      <x:c r="G59" s="88"/>
      <x:c r="H59" s="88"/>
      <x:c r="I59" s="88"/>
      <x:c r="J59" s="88"/>
    </x:row>
    <x:row r="60" ht="19" customHeight="1">
      <x:c r="A60" s="88"/>
      <x:c r="B60" s="88"/>
      <x:c r="C60" s="88"/>
      <x:c r="D60" s="88"/>
      <x:c r="E60" s="88"/>
      <x:c r="F60" s="88"/>
      <x:c r="G60" s="88"/>
      <x:c r="H60" s="88"/>
      <x:c r="I60" s="88"/>
      <x:c r="J60" s="88"/>
    </x:row>
    <x:row r="61" ht="19" customHeight="1">
      <x:c r="A61" s="88"/>
      <x:c r="B61" s="88"/>
      <x:c r="C61" s="88"/>
      <x:c r="D61" s="88"/>
      <x:c r="E61" s="88"/>
      <x:c r="F61" s="88"/>
      <x:c r="G61" s="88"/>
      <x:c r="H61" s="88"/>
      <x:c r="I61" s="88"/>
      <x:c r="J61" s="88"/>
    </x:row>
    <x:row r="62" ht="19" customHeight="1">
      <x:c r="A62" s="88"/>
      <x:c r="B62" s="88"/>
      <x:c r="C62" s="88"/>
      <x:c r="D62" s="88"/>
      <x:c r="E62" s="88"/>
      <x:c r="F62" s="88"/>
      <x:c r="G62" s="88"/>
      <x:c r="H62" s="88"/>
      <x:c r="I62" s="88"/>
      <x:c r="J62" s="88"/>
    </x:row>
    <x:row r="63" ht="19" customHeight="1">
      <x:c r="A63" s="88"/>
      <x:c r="B63" s="88"/>
      <x:c r="C63" s="88"/>
      <x:c r="D63" s="88"/>
      <x:c r="E63" s="88"/>
      <x:c r="F63" s="88"/>
      <x:c r="G63" s="88"/>
      <x:c r="H63" s="88"/>
      <x:c r="I63" s="88"/>
      <x:c r="J63" s="88"/>
    </x:row>
    <x:row r="64" ht="19" customHeight="1">
      <x:c r="A64" s="88"/>
      <x:c r="B64" s="88"/>
      <x:c r="C64" s="88"/>
      <x:c r="D64" s="88"/>
      <x:c r="E64" s="88"/>
      <x:c r="F64" s="88"/>
      <x:c r="G64" s="88"/>
      <x:c r="H64" s="88"/>
      <x:c r="I64" s="88"/>
      <x:c r="J64" s="88"/>
    </x:row>
    <x:row r="65" ht="19" customHeight="1">
      <x:c r="A65" s="88"/>
      <x:c r="B65" s="88"/>
      <x:c r="C65" s="88"/>
      <x:c r="D65" s="88"/>
      <x:c r="E65" s="88"/>
      <x:c r="F65" s="88"/>
      <x:c r="G65" s="88"/>
      <x:c r="H65" s="88"/>
      <x:c r="I65" s="88"/>
      <x:c r="J65" s="88"/>
    </x:row>
    <x:row r="66" ht="19" customHeight="1">
      <x:c r="A66" s="88"/>
      <x:c r="B66" s="88"/>
      <x:c r="C66" s="88"/>
      <x:c r="D66" s="88"/>
      <x:c r="E66" s="88"/>
      <x:c r="F66" s="88"/>
      <x:c r="G66" s="88"/>
      <x:c r="H66" s="88"/>
      <x:c r="I66" s="88"/>
      <x:c r="J66" s="88"/>
    </x:row>
    <x:row r="67" ht="19" customHeight="1">
      <x:c r="A67" s="88"/>
      <x:c r="B67" s="88"/>
      <x:c r="C67" s="88"/>
      <x:c r="D67" s="88"/>
      <x:c r="E67" s="88"/>
      <x:c r="F67" s="88"/>
      <x:c r="G67" s="88"/>
      <x:c r="H67" s="88"/>
      <x:c r="I67" s="88"/>
      <x:c r="J67" s="88"/>
    </x:row>
    <x:row r="68" ht="19" customHeight="1">
      <x:c r="A68" s="88"/>
      <x:c r="B68" s="88"/>
      <x:c r="C68" s="88"/>
      <x:c r="D68" s="88"/>
      <x:c r="E68" s="88"/>
      <x:c r="F68" s="88"/>
      <x:c r="G68" s="88"/>
      <x:c r="H68" s="88"/>
      <x:c r="I68" s="88"/>
      <x:c r="J68" s="88"/>
    </x:row>
    <x:row r="69" ht="19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</x:row>
    <x:row r="70" ht="19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</x:row>
    <x:row r="71" ht="19" customHeight="1">
      <x:c r="A71" s="88"/>
      <x:c r="B71" s="88"/>
      <x:c r="C71" s="88"/>
      <x:c r="D71" s="88"/>
      <x:c r="E71" s="88"/>
      <x:c r="F71" s="88"/>
      <x:c r="G71" s="88"/>
      <x:c r="H71" s="88"/>
      <x:c r="I71" s="88"/>
      <x:c r="J71" s="88"/>
    </x:row>
    <x:row r="72" ht="19" customHeight="1">
      <x:c r="A72" s="88"/>
      <x:c r="B72" s="88"/>
      <x:c r="C72" s="88"/>
      <x:c r="D72" s="88"/>
      <x:c r="E72" s="88"/>
      <x:c r="F72" s="88"/>
      <x:c r="G72" s="88"/>
      <x:c r="H72" s="88"/>
      <x:c r="I72" s="88"/>
      <x:c r="J72" s="88"/>
    </x:row>
    <x:row r="73" ht="19" customHeight="1">
      <x:c r="A73" s="88"/>
      <x:c r="B73" s="88"/>
      <x:c r="C73" s="88"/>
      <x:c r="D73" s="88"/>
      <x:c r="E73" s="88"/>
      <x:c r="F73" s="88"/>
      <x:c r="G73" s="88"/>
      <x:c r="H73" s="88"/>
      <x:c r="I73" s="88"/>
      <x:c r="J73" s="88"/>
    </x:row>
    <x:row r="74" ht="19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</x:row>
    <x:row r="75" ht="19" customHeight="1">
      <x:c r="A75" s="88"/>
      <x:c r="B75" s="88"/>
      <x:c r="C75" s="88"/>
      <x:c r="D75" s="88"/>
      <x:c r="E75" s="88"/>
      <x:c r="F75" s="88"/>
      <x:c r="G75" s="88"/>
      <x:c r="H75" s="88"/>
      <x:c r="I75" s="88"/>
      <x:c r="J75" s="88"/>
    </x:row>
  </x:sheetData>
  <x:mergeCells>
    <x:mergeCell ref="A1:J1"/>
    <x:mergeCell ref="A2:J3"/>
    <x:mergeCell ref="B37:J37"/>
    <x:mergeCell ref="B50:J52"/>
    <x:mergeCell ref="B55:J57"/>
  </x:mergeCells>
  <x:conditionalFormatting sqref="F6:F46">
    <x:cfRule type="containsText" dxfId="2" priority="1" operator="containsText" text="FAIL"/>
    <x:cfRule type="containsText" dxfId="3" priority="2" operator="containsText" text="ASSUMPTION"/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customHeight="1">
      <x:c r="A1" s="90" t="str">
        <x:v>SALESFORCE | SOURCE INPUTS</x:v>
      </x:c>
      <x:c r="B1" s="90"/>
      <x:c r="C1" s="90"/>
      <x:c r="D1" s="90"/>
      <x:c r="E1" s="90"/>
      <x:c r="F1" s="90"/>
      <x:c r="G1" s="90"/>
      <x:c r="H1" s="90"/>
      <x:c r="I1" s="90"/>
      <x:c r="J1" s="90"/>
    </x:row>
    <x:row r="2" ht="19" customHeight="1">
      <x:c r="A2" s="92" t="str">
        <x:v>US$ millions, except shares and per-share price. Latest reported balance sheet is a dated proxy for valuation-day balances.</x:v>
      </x:c>
      <x:c r="B2" s="92"/>
      <x:c r="C2" s="92"/>
      <x:c r="D2" s="92"/>
      <x:c r="E2" s="92"/>
      <x:c r="F2" s="92"/>
      <x:c r="G2" s="92"/>
      <x:c r="H2" s="92"/>
      <x:c r="I2" s="92"/>
      <x:c r="J2" s="92"/>
    </x:row>
    <x:row r="3" ht="19" customHeight="1">
      <x:c r="A3" s="92"/>
      <x:c r="B3" s="92"/>
      <x:c r="C3" s="92"/>
      <x:c r="D3" s="92"/>
      <x:c r="E3" s="92"/>
      <x:c r="F3" s="92"/>
      <x:c r="G3" s="92"/>
      <x:c r="H3" s="92"/>
      <x:c r="I3" s="92"/>
      <x:c r="J3" s="92"/>
    </x:row>
    <x:row r="4" ht="19" customHeight="1">
      <x:c r="A4" s="88"/>
      <x:c r="B4" s="88" t="str">
        <x:v>Input</x:v>
      </x:c>
      <x:c r="C4" s="88" t="str">
        <x:v>Value</x:v>
      </x:c>
      <x:c r="D4" s="88" t="str">
        <x:v>Units</x:v>
      </x:c>
      <x:c r="E4" s="88" t="str">
        <x:v>Period / date</x:v>
      </x:c>
      <x:c r="F4" s="88" t="str">
        <x:v>Source / assumption</x:v>
      </x:c>
      <x:c r="G4" s="88" t="str"/>
      <x:c r="H4" s="88"/>
      <x:c r="I4" s="88"/>
      <x:c r="J4" s="88"/>
    </x:row>
    <x:row r="5" ht="28" customHeight="1">
      <x:c r="A5" s="88"/>
      <x:c r="B5" s="88" t="str">
        <x:v>Valuation date</x:v>
      </x:c>
      <x:c r="C5" s="93" t="n">
        <x:v>46269</x:v>
      </x:c>
      <x:c r="D5" s="88" t="str">
        <x:v>date</x:v>
      </x:c>
      <x:c r="E5" s="88" t="str">
        <x:v>2026-09-04</x:v>
      </x:c>
      <x:c r="F5" s="94" t="str">
        <x:v>Model convention</x:v>
      </x:c>
      <x:c r="G5" s="94"/>
      <x:c r="H5" s="94"/>
      <x:c r="I5" s="94"/>
      <x:c r="J5" s="94"/>
    </x:row>
    <x:row r="6" ht="28" customHeight="1">
      <x:c r="A6" s="88"/>
      <x:c r="B6" s="88" t="str">
        <x:v>Latest balance-sheet date</x:v>
      </x:c>
      <x:c r="C6" s="93" t="n">
        <x:v>46234</x:v>
      </x:c>
      <x:c r="D6" s="88" t="str">
        <x:v>date</x:v>
      </x:c>
      <x:c r="E6" s="88" t="str">
        <x:v>2026-07-31</x:v>
      </x:c>
      <x:c r="F6" s="94" t="str">
        <x:v>Q2</x:v>
      </x:c>
      <x:c r="G6" s="94"/>
      <x:c r="H6" s="94"/>
      <x:c r="I6" s="94"/>
      <x:c r="J6" s="94"/>
    </x:row>
    <x:row r="7" ht="28" customHeight="1">
      <x:c r="A7" s="88"/>
      <x:c r="B7" s="88" t="str">
        <x:v>Share price</x:v>
      </x:c>
      <x:c r="C7" s="97" t="n">
        <x:v>259.23</x:v>
      </x:c>
      <x:c r="D7" s="88" t="str">
        <x:v>$/share</x:v>
      </x:c>
      <x:c r="E7" s="88" t="str">
        <x:v>2026-09-04</x:v>
      </x:c>
      <x:c r="F7" s="94" t="str">
        <x:v>Share-price assumption at the stated date</x:v>
      </x:c>
      <x:c r="G7" s="94"/>
      <x:c r="H7" s="94"/>
      <x:c r="I7" s="94"/>
      <x:c r="J7" s="94"/>
    </x:row>
    <x:row r="8" ht="28" customHeight="1">
      <x:c r="A8" s="88"/>
      <x:c r="B8" s="88" t="str">
        <x:v>Diluted share denominator</x:v>
      </x:c>
      <x:c r="C8" s="100" t="n">
        <x:v>821</x:v>
      </x:c>
      <x:c r="D8" s="88" t="str">
        <x:v>million</x:v>
      </x:c>
      <x:c r="E8" s="88" t="str">
        <x:v>2026-07-31</x:v>
      </x:c>
      <x:c r="F8" s="94" t="str">
        <x:v>Assumption: Q2 diluted weighted-average shares</x:v>
      </x:c>
      <x:c r="G8" s="94"/>
      <x:c r="H8" s="94"/>
      <x:c r="I8" s="94"/>
      <x:c r="J8" s="94"/>
    </x:row>
    <x:row r="9" ht="28" customHeight="1">
      <x:c r="A9" s="88"/>
      <x:c r="B9" s="88" t="str">
        <x:v>Basic shares for WACC market equity</x:v>
      </x:c>
      <x:c r="C9" s="100" t="n">
        <x:v>820</x:v>
      </x:c>
      <x:c r="D9" s="88" t="str">
        <x:v>million</x:v>
      </x:c>
      <x:c r="E9" s="88" t="str">
        <x:v>2026-07-31</x:v>
      </x:c>
      <x:c r="F9" s="94" t="str">
        <x:v>Assumption: Q2 basic weighted-average shares</x:v>
      </x:c>
      <x:c r="G9" s="94"/>
      <x:c r="H9" s="94"/>
      <x:c r="I9" s="94"/>
      <x:c r="J9" s="94"/>
    </x:row>
    <x:row r="10" ht="28" customHeight="1">
      <x:c r="A10" s="88"/>
      <x:c r="B10" s="88" t="str">
        <x:v>Cash and equivalents</x:v>
      </x:c>
      <x:c r="C10" s="98" t="n">
        <x:v>8310</x:v>
      </x:c>
      <x:c r="D10" s="88" t="str">
        <x:v>$m</x:v>
      </x:c>
      <x:c r="E10" s="88" t="str">
        <x:v>2026-07-31</x:v>
      </x:c>
      <x:c r="F10" s="94" t="str">
        <x:v>Q2</x:v>
      </x:c>
      <x:c r="G10" s="94"/>
      <x:c r="H10" s="94"/>
      <x:c r="I10" s="94"/>
      <x:c r="J10" s="94"/>
    </x:row>
    <x:row r="11" ht="28" customHeight="1">
      <x:c r="A11" s="88"/>
      <x:c r="B11" s="88" t="str">
        <x:v>Short-term investments</x:v>
      </x:c>
      <x:c r="C11" s="98" t="n">
        <x:v>3093</x:v>
      </x:c>
      <x:c r="D11" s="88" t="str">
        <x:v>$m</x:v>
      </x:c>
      <x:c r="E11" s="88" t="str">
        <x:v>2026-07-31</x:v>
      </x:c>
      <x:c r="F11" s="94" t="str">
        <x:v>Q2</x:v>
      </x:c>
      <x:c r="G11" s="94"/>
      <x:c r="H11" s="94"/>
      <x:c r="I11" s="94"/>
      <x:c r="J11" s="94"/>
    </x:row>
    <x:row r="12" ht="28" customHeight="1">
      <x:c r="A12" s="88"/>
      <x:c r="B12" s="88" t="str">
        <x:v>Funded debt</x:v>
      </x:c>
      <x:c r="C12" s="98" t="n">
        <x:v>39288</x:v>
      </x:c>
      <x:c r="D12" s="88" t="str">
        <x:v>$m</x:v>
      </x:c>
      <x:c r="E12" s="88" t="str">
        <x:v>2026-07-31</x:v>
      </x:c>
      <x:c r="F12" s="94" t="str">
        <x:v>Q2</x:v>
      </x:c>
      <x:c r="G12" s="94"/>
      <x:c r="H12" s="94"/>
      <x:c r="I12" s="94"/>
      <x:c r="J12" s="94"/>
    </x:row>
    <x:row r="13" ht="42" customHeight="1">
      <x:c r="A13" s="88"/>
      <x:c r="B13" s="88" t="str">
        <x:v>Valuation bridge: debt adjustment</x:v>
      </x:c>
      <x:c r="C13" s="100" t="n">
        <x:v>0</x:v>
      </x:c>
      <x:c r="D13" s="88" t="str">
        <x:v>$m</x:v>
      </x:c>
      <x:c r="E13" s="88" t="str">
        <x:v>User input</x:v>
      </x:c>
      <x:c r="F13" s="94" t="str">
        <x:v>Bridge only; does not forecast financing cash flows or interest. Use forecast debt-change row for those.</x:v>
      </x:c>
      <x:c r="G13" s="94"/>
      <x:c r="H13" s="94"/>
      <x:c r="I13" s="94"/>
      <x:c r="J13" s="94"/>
    </x:row>
    <x:row r="14" ht="28" customHeight="1">
      <x:c r="A14" s="88"/>
      <x:c r="B14" s="88" t="str">
        <x:v>Valuation bridge: cash adjustment</x:v>
      </x:c>
      <x:c r="C14" s="100" t="n">
        <x:v>0</x:v>
      </x:c>
      <x:c r="D14" s="88" t="str">
        <x:v>$m</x:v>
      </x:c>
      <x:c r="E14" s="88" t="str">
        <x:v>User input</x:v>
      </x:c>
      <x:c r="F14" s="94" t="str">
        <x:v>Bridge only; does not forecast transactions or cash yield. Default zero.</x:v>
      </x:c>
      <x:c r="G14" s="94"/>
      <x:c r="H14" s="94"/>
      <x:c r="I14" s="94"/>
      <x:c r="J14" s="94"/>
    </x:row>
    <x:row r="15" ht="42" customHeight="1">
      <x:c r="A15" s="88"/>
      <x:c r="B15" s="88" t="str">
        <x:v>Non-operating investment value credited</x:v>
      </x:c>
      <x:c r="C15" s="100" t="n">
        <x:v>0</x:v>
      </x:c>
      <x:c r="D15" s="88" t="str">
        <x:v>$m</x:v>
      </x:c>
      <x:c r="E15" s="88" t="str">
        <x:v>User assumption</x:v>
      </x:c>
      <x:c r="F15" s="94" t="str">
        <x:v>Assumption: no separate value for strategic investments. Reported carrying value is $11,324m.</x:v>
      </x:c>
      <x:c r="G15" s="94"/>
      <x:c r="H15" s="94"/>
      <x:c r="I15" s="94"/>
      <x:c r="J15" s="94"/>
    </x:row>
    <x:row r="16" ht="28" customHeight="1">
      <x:c r="A16" s="88"/>
      <x:c r="B16" s="88" t="str">
        <x:v>Reported total assets</x:v>
      </x:c>
      <x:c r="C16" s="98" t="n">
        <x:v>109620</x:v>
      </x:c>
      <x:c r="D16" s="88" t="str">
        <x:v>$m</x:v>
      </x:c>
      <x:c r="E16" s="88" t="str">
        <x:v>2026-07-31</x:v>
      </x:c>
      <x:c r="F16" s="94" t="str">
        <x:v>Q2</x:v>
      </x:c>
      <x:c r="G16" s="94"/>
      <x:c r="H16" s="94"/>
      <x:c r="I16" s="94"/>
      <x:c r="J16" s="94"/>
    </x:row>
    <x:row r="17" ht="28" customHeight="1">
      <x:c r="A17" s="88"/>
      <x:c r="B17" s="88" t="str">
        <x:v>Reported total equity</x:v>
      </x:c>
      <x:c r="C17" s="98" t="n">
        <x:v>38378</x:v>
      </x:c>
      <x:c r="D17" s="88" t="str">
        <x:v>$m</x:v>
      </x:c>
      <x:c r="E17" s="88" t="str">
        <x:v>2026-07-31</x:v>
      </x:c>
      <x:c r="F17" s="94" t="str">
        <x:v>Q2</x:v>
      </x:c>
      <x:c r="G17" s="94"/>
      <x:c r="H17" s="94"/>
      <x:c r="I17" s="94"/>
      <x:c r="J17" s="94"/>
    </x:row>
    <x:row r="18" ht="28" customHeight="1">
      <x:c r="A18" s="88"/>
      <x:c r="B18" s="88" t="str">
        <x:v>Operating current assets</x:v>
      </x:c>
      <x:c r="C18" s="98" t="n">
        <x:v>10680</x:v>
      </x:c>
      <x:c r="D18" s="88" t="str">
        <x:v>$m</x:v>
      </x:c>
      <x:c r="E18" s="88" t="str">
        <x:v>2026-07-31</x:v>
      </x:c>
      <x:c r="F18" s="94" t="str">
        <x:v>Q2; excludes cash and short-term investments</x:v>
      </x:c>
      <x:c r="G18" s="94"/>
      <x:c r="H18" s="94"/>
      <x:c r="I18" s="94"/>
      <x:c r="J18" s="94"/>
    </x:row>
    <x:row r="19" ht="28" customHeight="1">
      <x:c r="A19" s="88"/>
      <x:c r="B19" s="88" t="str">
        <x:v>Operating current liabilities</x:v>
      </x:c>
      <x:c r="C19" s="98" t="n">
        <x:v>25805</x:v>
      </x:c>
      <x:c r="D19" s="88" t="str">
        <x:v>$m</x:v>
      </x:c>
      <x:c r="E19" s="88" t="str">
        <x:v>2026-07-31</x:v>
      </x:c>
      <x:c r="F19" s="94" t="str">
        <x:v>Q2; excludes funded debt and leases</x:v>
      </x:c>
      <x:c r="G19" s="94"/>
      <x:c r="H19" s="94"/>
      <x:c r="I19" s="94"/>
      <x:c r="J19" s="94"/>
    </x:row>
    <x:row r="20" ht="28" customHeight="1">
      <x:c r="A20" s="88"/>
      <x:c r="B20" s="88" t="str">
        <x:v>Property and equipment</x:v>
      </x:c>
      <x:c r="C20" s="98" t="n">
        <x:v>3042</x:v>
      </x:c>
      <x:c r="D20" s="88" t="str">
        <x:v>$m</x:v>
      </x:c>
      <x:c r="E20" s="88" t="str">
        <x:v>2026-07-31</x:v>
      </x:c>
      <x:c r="F20" s="94" t="str">
        <x:v>Q2</x:v>
      </x:c>
      <x:c r="G20" s="94"/>
      <x:c r="H20" s="94"/>
      <x:c r="I20" s="94"/>
      <x:c r="J20" s="94"/>
    </x:row>
    <x:row r="21" ht="28" customHeight="1">
      <x:c r="A21" s="88"/>
      <x:c r="B21" s="88" t="str">
        <x:v>Acquired intangibles</x:v>
      </x:c>
      <x:c r="C21" s="98" t="n">
        <x:v>6142</x:v>
      </x:c>
      <x:c r="D21" s="88" t="str">
        <x:v>$m</x:v>
      </x:c>
      <x:c r="E21" s="88" t="str">
        <x:v>2026-07-31</x:v>
      </x:c>
      <x:c r="F21" s="94" t="str">
        <x:v>Q2; Gap included in other long-term assets</x:v>
      </x:c>
      <x:c r="G21" s="94"/>
      <x:c r="H21" s="94"/>
      <x:c r="I21" s="94"/>
      <x:c r="J21" s="94"/>
    </x:row>
    <x:row r="22" ht="28" customHeight="1">
      <x:c r="A22" s="88"/>
      <x:c r="B22" s="88" t="str">
        <x:v>Goodwill</x:v>
      </x:c>
      <x:c r="C22" s="98" t="n">
        <x:v>59250</x:v>
      </x:c>
      <x:c r="D22" s="88" t="str">
        <x:v>$m</x:v>
      </x:c>
      <x:c r="E22" s="88" t="str">
        <x:v>2026-07-31</x:v>
      </x:c>
      <x:c r="F22" s="94" t="str">
        <x:v>Q2; Gap included in other long-term assets</x:v>
      </x:c>
      <x:c r="G22" s="94"/>
      <x:c r="H22" s="94"/>
      <x:c r="I22" s="94"/>
      <x:c r="J22" s="94"/>
    </x:row>
    <x:row r="23" ht="28" customHeight="1">
      <x:c r="A23" s="88"/>
      <x:c r="B23" s="88" t="str">
        <x:v>Operating lease assets</x:v>
      </x:c>
      <x:c r="C23" s="98" t="n">
        <x:v>1787</x:v>
      </x:c>
      <x:c r="D23" s="88" t="str">
        <x:v>$m</x:v>
      </x:c>
      <x:c r="E23" s="88" t="str">
        <x:v>2026-07-31</x:v>
      </x:c>
      <x:c r="F23" s="94" t="str">
        <x:v>Q2</x:v>
      </x:c>
      <x:c r="G23" s="94"/>
      <x:c r="H23" s="94"/>
      <x:c r="I23" s="94"/>
      <x:c r="J23" s="94"/>
    </x:row>
    <x:row r="24" ht="28" customHeight="1">
      <x:c r="A24" s="88"/>
      <x:c r="B24" s="88" t="str">
        <x:v>Other long-term assets</x:v>
      </x:c>
      <x:c r="C24" s="98" t="n">
        <x:v>17316</x:v>
      </x:c>
      <x:c r="D24" s="88" t="str">
        <x:v>$m</x:v>
      </x:c>
      <x:c r="E24" s="88" t="str">
        <x:v>2026-07-31</x:v>
      </x:c>
      <x:c r="F24" s="94" t="str">
        <x:v>Q2; sum of disclosed components</x:v>
      </x:c>
      <x:c r="G24" s="94"/>
      <x:c r="H24" s="94"/>
      <x:c r="I24" s="94"/>
      <x:c r="J24" s="94"/>
    </x:row>
    <x:row r="25" ht="28" customHeight="1">
      <x:c r="A25" s="88"/>
      <x:c r="B25" s="88" t="str">
        <x:v>Operating lease liabilities</x:v>
      </x:c>
      <x:c r="C25" s="98" t="n">
        <x:v>2455</x:v>
      </x:c>
      <x:c r="D25" s="88" t="str">
        <x:v>$m</x:v>
      </x:c>
      <x:c r="E25" s="88" t="str">
        <x:v>2026-07-31</x:v>
      </x:c>
      <x:c r="F25" s="94" t="str">
        <x:v>Q2 current plus noncurrent</x:v>
      </x:c>
      <x:c r="G25" s="94"/>
      <x:c r="H25" s="94"/>
      <x:c r="I25" s="94"/>
      <x:c r="J25" s="94"/>
    </x:row>
    <x:row r="26" ht="28" customHeight="1">
      <x:c r="A26" s="88"/>
      <x:c r="B26" s="88" t="str">
        <x:v>Other long-term liabilities</x:v>
      </x:c>
      <x:c r="C26" s="98" t="n">
        <x:v>3694</x:v>
      </x:c>
      <x:c r="D26" s="88" t="str">
        <x:v>$m</x:v>
      </x:c>
      <x:c r="E26" s="88" t="str">
        <x:v>2026-07-31</x:v>
      </x:c>
      <x:c r="F26" s="94" t="str">
        <x:v>Q2</x:v>
      </x:c>
      <x:c r="G26" s="94"/>
      <x:c r="H26" s="94"/>
      <x:c r="I26" s="94"/>
      <x:c r="J26" s="94"/>
    </x:row>
    <x:row r="27" ht="28" customHeight="1">
      <x:c r="A27" s="88"/>
      <x:c r="B27" s="88" t="str">
        <x:v>Minimum operating cash retained</x:v>
      </x:c>
      <x:c r="C27" s="100" t="n">
        <x:v>3000</x:v>
      </x:c>
      <x:c r="D27" s="88" t="str">
        <x:v>$m</x:v>
      </x:c>
      <x:c r="E27" s="88" t="str">
        <x:v>Assumption</x:v>
      </x:c>
      <x:c r="F27" s="94" t="str">
        <x:v>Reserve retained in enterprise; only excess cash added to equity</x:v>
      </x:c>
      <x:c r="G27" s="94"/>
      <x:c r="H27" s="94"/>
      <x:c r="I27" s="94"/>
      <x:c r="J27" s="94"/>
    </x:row>
    <x:row r="28" ht="19" customHeight="1">
      <x:c r="A28" s="88"/>
      <x:c r="B28" s="88"/>
      <x:c r="C28" s="88"/>
      <x:c r="D28" s="88"/>
      <x:c r="E28" s="88"/>
      <x:c r="F28" s="88"/>
      <x:c r="G28" s="88"/>
      <x:c r="H28" s="88"/>
      <x:c r="I28" s="88"/>
      <x:c r="J28" s="88"/>
    </x:row>
    <x:row r="29" ht="19" customHeight="1">
      <x:c r="A29" s="88"/>
      <x:c r="B29" s="88"/>
      <x:c r="C29" s="88"/>
      <x:c r="D29" s="88"/>
      <x:c r="E29" s="88"/>
      <x:c r="F29" s="88"/>
      <x:c r="G29" s="88"/>
      <x:c r="H29" s="88"/>
      <x:c r="I29" s="88"/>
      <x:c r="J29" s="88"/>
    </x:row>
    <x:row r="30" ht="28" customHeight="1">
      <x:c r="A30" s="88"/>
      <x:c r="B30" s="88" t="str">
        <x:v>Latest full-year revenue</x:v>
      </x:c>
      <x:c r="C30" s="98" t="n">
        <x:v>41525</x:v>
      </x:c>
      <x:c r="D30" s="88" t="str">
        <x:v>$m</x:v>
      </x:c>
      <x:c r="E30" s="88" t="str">
        <x:v>FY2026</x:v>
      </x:c>
      <x:c r="F30" s="94" t="str">
        <x:v>FY</x:v>
      </x:c>
      <x:c r="G30" s="94"/>
      <x:c r="H30" s="94"/>
      <x:c r="I30" s="94"/>
      <x:c r="J30" s="94"/>
    </x:row>
    <x:row r="31" ht="28" customHeight="1">
      <x:c r="A31" s="88"/>
      <x:c r="B31" s="88" t="str">
        <x:v>Latest full-year GAAP EBIT</x:v>
      </x:c>
      <x:c r="C31" s="98" t="n">
        <x:v>8331</x:v>
      </x:c>
      <x:c r="D31" s="88" t="str">
        <x:v>$m</x:v>
      </x:c>
      <x:c r="E31" s="88" t="str">
        <x:v>FY2026</x:v>
      </x:c>
      <x:c r="F31" s="94" t="str">
        <x:v>FY</x:v>
      </x:c>
      <x:c r="G31" s="94"/>
      <x:c r="H31" s="94"/>
      <x:c r="I31" s="94"/>
      <x:c r="J31" s="94"/>
    </x:row>
    <x:row r="32" ht="28" customHeight="1">
      <x:c r="A32" s="88"/>
      <x:c r="B32" s="88" t="str">
        <x:v>Latest full-year reported D&amp;A</x:v>
      </x:c>
      <x:c r="C32" s="98" t="n">
        <x:v>3631</x:v>
      </x:c>
      <x:c r="D32" s="88" t="str">
        <x:v>$m</x:v>
      </x:c>
      <x:c r="E32" s="88" t="str">
        <x:v>FY2026</x:v>
      </x:c>
      <x:c r="F32" s="94" t="str">
        <x:v>FY; includes ROU amortization; not directly used for after-rent DCF</x:v>
      </x:c>
      <x:c r="G32" s="94"/>
      <x:c r="H32" s="94"/>
      <x:c r="I32" s="94"/>
      <x:c r="J32" s="94"/>
    </x:row>
    <x:row r="33" ht="19" customHeight="1">
      <x:c r="A33" s="88"/>
      <x:c r="B33" s="88"/>
      <x:c r="C33" s="88"/>
      <x:c r="D33" s="88"/>
      <x:c r="E33" s="88"/>
      <x:c r="F33" s="88"/>
      <x:c r="G33" s="88"/>
      <x:c r="H33" s="88"/>
      <x:c r="I33" s="88"/>
      <x:c r="J33" s="88"/>
    </x:row>
    <x:row r="34" ht="28" customHeight="1">
      <x:c r="A34" s="88"/>
      <x:c r="B34" s="88" t="str">
        <x:v>Current first-half capex</x:v>
      </x:c>
      <x:c r="C34" s="98" t="n">
        <x:v>316</x:v>
      </x:c>
      <x:c r="D34" s="88" t="str">
        <x:v>$m</x:v>
      </x:c>
      <x:c r="E34" s="88" t="str">
        <x:v>2026-07-31</x:v>
      </x:c>
      <x:c r="F34" s="94" t="str">
        <x:v>Q2</x:v>
      </x:c>
      <x:c r="G34" s="94"/>
      <x:c r="H34" s="94"/>
      <x:c r="I34" s="94"/>
      <x:c r="J34" s="94"/>
    </x:row>
    <x:row r="35" ht="19" customHeight="1">
      <x:c r="A35" s="88"/>
      <x:c r="B35" s="88"/>
      <x:c r="C35" s="88"/>
      <x:c r="D35" s="88"/>
      <x:c r="E35" s="88"/>
      <x:c r="F35" s="88"/>
      <x:c r="G35" s="88"/>
      <x:c r="H35" s="88"/>
      <x:c r="I35" s="88"/>
      <x:c r="J35" s="88"/>
    </x:row>
    <x:row r="36" ht="28" customHeight="1">
      <x:c r="A36" s="88"/>
      <x:c r="B36" s="88" t="str">
        <x:v>Current first-half revenue</x:v>
      </x:c>
      <x:c r="C36" s="98" t="n">
        <x:v>22478</x:v>
      </x:c>
      <x:c r="D36" s="88" t="str">
        <x:v>$m</x:v>
      </x:c>
      <x:c r="E36" s="88" t="str">
        <x:v>2026-07-31</x:v>
      </x:c>
      <x:c r="F36" s="94" t="str">
        <x:v>Q2</x:v>
      </x:c>
      <x:c r="G36" s="94"/>
      <x:c r="H36" s="94"/>
      <x:c r="I36" s="94"/>
      <x:c r="J36" s="94"/>
    </x:row>
    <x:row r="37" ht="28" customHeight="1">
      <x:c r="A37" s="88"/>
      <x:c r="B37" s="88" t="str">
        <x:v>Current first-half GAAP EBIT</x:v>
      </x:c>
      <x:c r="C37" s="98" t="n">
        <x:v>4678</x:v>
      </x:c>
      <x:c r="D37" s="88" t="str">
        <x:v>$m</x:v>
      </x:c>
      <x:c r="E37" s="88" t="str">
        <x:v>2026-07-31</x:v>
      </x:c>
      <x:c r="F37" s="94" t="str">
        <x:v>Q2</x:v>
      </x:c>
      <x:c r="G37" s="94"/>
      <x:c r="H37" s="94"/>
      <x:c r="I37" s="94"/>
      <x:c r="J37" s="94"/>
    </x:row>
    <x:row r="38" ht="28" customHeight="1">
      <x:c r="A38" s="88"/>
      <x:c r="B38" s="88" t="str">
        <x:v>Nonrecurring EBIT gains removed</x:v>
      </x:c>
      <x:c r="C38" s="98" t="n">
        <x:v>0</x:v>
      </x:c>
      <x:c r="D38" s="88" t="str">
        <x:v>$m</x:v>
      </x:c>
      <x:c r="E38" s="88" t="str">
        <x:v>2026-07-31</x:v>
      </x:c>
      <x:c r="F38" s="94" t="str">
        <x:v>No restructuring add-back: reported GAAP EBIT retained</x:v>
      </x:c>
      <x:c r="G38" s="94"/>
      <x:c r="H38" s="94"/>
      <x:c r="I38" s="94"/>
      <x:c r="J38" s="94"/>
    </x:row>
    <x:row r="39" ht="28" customHeight="1">
      <x:c r="A39" s="88"/>
      <x:c r="B39" s="88" t="str">
        <x:v>Prior-year first-half revenue</x:v>
      </x:c>
      <x:c r="C39" s="98" t="n">
        <x:v>20065</x:v>
      </x:c>
      <x:c r="D39" s="88" t="str">
        <x:v>$m</x:v>
      </x:c>
      <x:c r="E39" s="88" t="str">
        <x:v>Prior H1</x:v>
      </x:c>
      <x:c r="F39" s="94" t="str">
        <x:v>Q2</x:v>
      </x:c>
      <x:c r="G39" s="94"/>
      <x:c r="H39" s="94"/>
      <x:c r="I39" s="94"/>
      <x:c r="J39" s="94"/>
    </x:row>
    <x:row r="40" ht="28" customHeight="1">
      <x:c r="A40" s="88"/>
      <x:c r="B40" s="88" t="str">
        <x:v>Prior-year first-half EBIT</x:v>
      </x:c>
      <x:c r="C40" s="98" t="n">
        <x:v>4274</x:v>
      </x:c>
      <x:c r="D40" s="88" t="str">
        <x:v>$m</x:v>
      </x:c>
      <x:c r="E40" s="88" t="str">
        <x:v>Prior H1</x:v>
      </x:c>
      <x:c r="F40" s="94" t="str">
        <x:v>Q2</x:v>
      </x:c>
      <x:c r="G40" s="94"/>
      <x:c r="H40" s="94"/>
      <x:c r="I40" s="94"/>
      <x:c r="J40" s="94"/>
    </x:row>
    <x:row r="41" ht="28" customHeight="1">
      <x:c r="A41" s="88"/>
      <x:c r="B41" s="88" t="str">
        <x:v>Current FY revenue planning anchor</x:v>
      </x:c>
      <x:c r="C41" s="98" t="n">
        <x:v>46250</x:v>
      </x:c>
      <x:c r="D41" s="88" t="str">
        <x:v>$m</x:v>
      </x:c>
      <x:c r="E41" s="88" t="str">
        <x:v>Current FY</x:v>
      </x:c>
      <x:c r="F41" s="94" t="str">
        <x:v>Revenue guidance midpoint before the pending-deal adjustment</x:v>
      </x:c>
      <x:c r="G41" s="94"/>
      <x:c r="H41" s="94"/>
      <x:c r="I41" s="94"/>
      <x:c r="J41" s="94"/>
    </x:row>
    <x:row r="42" ht="28" customHeight="1">
      <x:c r="A42" s="88"/>
      <x:c r="B42" s="88" t="str">
        <x:v>Current first-half reported D&amp;A</x:v>
      </x:c>
      <x:c r="C42" s="98" t="n">
        <x:v>1951</x:v>
      </x:c>
      <x:c r="D42" s="88" t="str">
        <x:v>$m</x:v>
      </x:c>
      <x:c r="E42" s="88" t="str">
        <x:v>2026-07-31</x:v>
      </x:c>
      <x:c r="F42" s="94" t="str">
        <x:v>Q2</x:v>
      </x:c>
      <x:c r="G42" s="94"/>
      <x:c r="H42" s="94"/>
      <x:c r="I42" s="94"/>
      <x:c r="J42" s="94"/>
    </x:row>
    <x:row r="43" ht="28" customHeight="1">
      <x:c r="A43" s="88"/>
      <x:c r="B43" s="88" t="str">
        <x:v>Prior-year first-half reported D&amp;A</x:v>
      </x:c>
      <x:c r="C43" s="98" t="n">
        <x:v>1660</x:v>
      </x:c>
      <x:c r="D43" s="88" t="str">
        <x:v>$m</x:v>
      </x:c>
      <x:c r="E43" s="88" t="str">
        <x:v>Prior H1</x:v>
      </x:c>
      <x:c r="F43" s="94" t="str">
        <x:v>Q2</x:v>
      </x:c>
      <x:c r="G43" s="94"/>
      <x:c r="H43" s="94"/>
      <x:c r="I43" s="94"/>
      <x:c r="J43" s="94"/>
    </x:row>
    <x:row r="44" ht="28" customHeight="1">
      <x:c r="A44" s="88"/>
      <x:c r="B44" s="88" t="str">
        <x:v>Year-end operating CA / full-year sales</x:v>
      </x:c>
      <x:c r="C44" s="101" t="n">
        <x:v>0.44929560505719446</x:v>
      </x:c>
      <x:c r="D44" s="88" t="str">
        <x:v>ratio</x:v>
      </x:c>
      <x:c r="E44" s="88" t="str">
        <x:v>Latest FY</x:v>
      </x:c>
      <x:c r="F44" s="94" t="str">
        <x:v>FY; source component ratios</x:v>
      </x:c>
      <x:c r="G44" s="94"/>
      <x:c r="H44" s="94"/>
      <x:c r="I44" s="94"/>
      <x:c r="J44" s="94"/>
    </x:row>
    <x:row r="45" ht="28" customHeight="1">
      <x:c r="A45" s="88"/>
      <x:c r="B45" s="88" t="str">
        <x:v>Year-end operating CL / full-year sales</x:v>
      </x:c>
      <x:c r="C45" s="101" t="n">
        <x:v>0.7843467790487658</x:v>
      </x:c>
      <x:c r="D45" s="88" t="str">
        <x:v>ratio</x:v>
      </x:c>
      <x:c r="E45" s="88" t="str">
        <x:v>Latest FY</x:v>
      </x:c>
      <x:c r="F45" s="94" t="str">
        <x:v>FY; excludes debt and lease liabilities</x:v>
      </x:c>
      <x:c r="G45" s="94"/>
      <x:c r="H45" s="94"/>
      <x:c r="I45" s="94"/>
      <x:c r="J45" s="94"/>
    </x:row>
    <x:row r="46" ht="28" customHeight="1">
      <x:c r="A46" s="88"/>
      <x:c r="B46" s="88" t="str">
        <x:v>Historical annual dividends</x:v>
      </x:c>
      <x:c r="C46" s="98" t="n">
        <x:v>1587</x:v>
      </x:c>
      <x:c r="D46" s="88" t="str">
        <x:v>$m</x:v>
      </x:c>
      <x:c r="E46" s="88" t="str">
        <x:v>Latest FY</x:v>
      </x:c>
      <x:c r="F46" s="94" t="str">
        <x:v>FY</x:v>
      </x:c>
      <x:c r="G46" s="94"/>
      <x:c r="H46" s="94"/>
      <x:c r="I46" s="94"/>
      <x:c r="J46" s="94"/>
    </x:row>
    <x:row r="47" ht="28" customHeight="1">
      <x:c r="A47" s="88"/>
      <x:c r="B47" s="88" t="str">
        <x:v>Current first-half services revenue</x:v>
      </x:c>
      <x:c r="C47" s="98" t="n">
        <x:v>1065</x:v>
      </x:c>
      <x:c r="D47" s="88" t="str">
        <x:v>$m</x:v>
      </x:c>
      <x:c r="E47" s="88" t="str">
        <x:v>2026-07-31</x:v>
      </x:c>
      <x:c r="F47" s="94" t="str">
        <x:v>Q2</x:v>
      </x:c>
      <x:c r="G47" s="94"/>
      <x:c r="H47" s="94"/>
      <x:c r="I47" s="94"/>
      <x:c r="J47" s="94"/>
    </x:row>
    <x:row r="48" ht="28" customHeight="1">
      <x:c r="A48" s="88"/>
      <x:c r="B48" s="88" t="str">
        <x:v>Annual services revenue anchor</x:v>
      </x:c>
      <x:c r="C48" s="98" t="n">
        <x:v>2137</x:v>
      </x:c>
      <x:c r="D48" s="88" t="str">
        <x:v>$m</x:v>
      </x:c>
      <x:c r="E48" s="88" t="str">
        <x:v>Current FY</x:v>
      </x:c>
      <x:c r="F48" s="94" t="str">
        <x:v>FY2026 services held flat before scenario adjustment</x:v>
      </x:c>
      <x:c r="G48" s="94"/>
      <x:c r="H48" s="94"/>
      <x:c r="I48" s="94"/>
      <x:c r="J48" s="94"/>
    </x:row>
    <x:row r="49" ht="28" customHeight="1">
      <x:c r="A49" s="88"/>
      <x:c r="B49" s="88" t="str">
        <x:v>Current fiscal year-end</x:v>
      </x:c>
      <x:c r="C49" s="93" t="n">
        <x:v>46418</x:v>
      </x:c>
      <x:c r="D49" s="88" t="str">
        <x:v>date</x:v>
      </x:c>
      <x:c r="E49" s="88" t="str">
        <x:v>2027-01-31</x:v>
      </x:c>
      <x:c r="F49" s="94" t="str">
        <x:v>Model calendar</x:v>
      </x:c>
      <x:c r="G49" s="94"/>
      <x:c r="H49" s="94"/>
      <x:c r="I49" s="94"/>
      <x:c r="J49" s="94"/>
    </x:row>
    <x:row r="50" ht="28" customHeight="1">
      <x:c r="A50" s="88"/>
      <x:c r="B50" s="88" t="str">
        <x:v>Cash yield assumption</x:v>
      </x:c>
      <x:c r="C50" s="103" t="n">
        <x:v>0.03</x:v>
      </x:c>
      <x:c r="D50" s="88" t="str">
        <x:v>ratio</x:v>
      </x:c>
      <x:c r="E50" s="88" t="str">
        <x:v>Assumption</x:v>
      </x:c>
      <x:c r="F50" s="94" t="str">
        <x:v>Cash yield assumption</x:v>
      </x:c>
      <x:c r="G50" s="94"/>
      <x:c r="H50" s="94"/>
      <x:c r="I50" s="94"/>
      <x:c r="J50" s="94"/>
    </x:row>
    <x:row r="51" ht="28" customHeight="1">
      <x:c r="A51" s="88"/>
      <x:c r="B51" s="88" t="str">
        <x:v>Intangible amortization life</x:v>
      </x:c>
      <x:c r="C51" s="100" t="n">
        <x:v>4</x:v>
      </x:c>
      <x:c r="D51" s="88" t="str">
        <x:v>years</x:v>
      </x:c>
      <x:c r="E51" s="88" t="str">
        <x:v>Assumption</x:v>
      </x:c>
      <x:c r="F51" s="94" t="str">
        <x:v>Existing balance amortized over four years; goodwill is never amortized</x:v>
      </x:c>
      <x:c r="G51" s="94"/>
      <x:c r="H51" s="94"/>
      <x:c r="I51" s="94"/>
      <x:c r="J51" s="94"/>
    </x:row>
    <x:row r="52" ht="42" customHeight="1">
      <x:c r="A52" s="88"/>
      <x:c r="B52" s="88" t="str">
        <x:v>SBC already in baseline margin</x:v>
      </x:c>
      <x:c r="C52" s="101" t="n">
        <x:v>0.085</x:v>
      </x:c>
      <x:c r="D52" s="88" t="str">
        <x:v>ratio</x:v>
      </x:c>
      <x:c r="E52" s="88" t="str">
        <x:v>Fixed baseline</x:v>
      </x:c>
      <x:c r="F52" s="94" t="str">
        <x:v>Economic expense embedded in the starting margin; scenario SBC changes are measured against this baseline.</x:v>
      </x:c>
      <x:c r="G52" s="94"/>
      <x:c r="H52" s="94"/>
      <x:c r="I52" s="94"/>
      <x:c r="J52" s="94"/>
    </x:row>
    <x:row r="53" ht="28" customHeight="1">
      <x:c r="A53" s="88"/>
      <x:c r="B53" s="88" t="str">
        <x:v>Balance and share-count basis</x:v>
      </x:c>
      <x:c r="C53" s="100" t="n">
        <x:v>0</x:v>
      </x:c>
      <x:c r="D53" s="88" t="str">
        <x:v>0 or 1</x:v>
      </x:c>
      <x:c r="E53" s="88" t="str">
        <x:v>Assumption</x:v>
      </x:c>
      <x:c r="F53" s="94" t="str">
        <x:v>0 = report-date balances and average shares; 1 = supplied valuation-date inputs</x:v>
      </x:c>
      <x:c r="G53" s="94"/>
      <x:c r="H53" s="94"/>
      <x:c r="I53" s="94"/>
      <x:c r="J53" s="94"/>
    </x:row>
    <x:row r="54" ht="28" customHeight="1">
      <x:c r="A54" s="88"/>
      <x:c r="B54" s="88" t="str">
        <x:v>Peer reference basis</x:v>
      </x:c>
      <x:c r="C54" s="100" t="n">
        <x:v>0</x:v>
      </x:c>
      <x:c r="D54" s="88" t="str">
        <x:v>0 or 1</x:v>
      </x:c>
      <x:c r="E54" s="88" t="str">
        <x:v>Assumption</x:v>
      </x:c>
      <x:c r="F54" s="94" t="str">
        <x:v>0 = peer reference assumptions; 1 = supplied comparable-company analysis</x:v>
      </x:c>
      <x:c r="G54" s="94"/>
      <x:c r="H54" s="94"/>
      <x:c r="I54" s="94"/>
      <x:c r="J54" s="94"/>
    </x:row>
    <x:row r="55" ht="42" customHeight="1">
      <x:c r="A55" s="88"/>
      <x:c r="B55" s="88" t="str">
        <x:v>Cash-flow timing basis</x:v>
      </x:c>
      <x:c r="C55" s="100" t="n">
        <x:v>0</x:v>
      </x:c>
      <x:c r="D55" s="88" t="str">
        <x:v>0 or 1</x:v>
      </x:c>
      <x:c r="E55" s="88" t="str">
        <x:v>Assumption</x:v>
      </x:c>
      <x:c r="F55" s="94" t="str">
        <x:v>0 = even H2 allocation; 1 = supplied monthly cash-flow basis</x:v>
      </x:c>
      <x:c r="G55" s="94"/>
      <x:c r="H55" s="94"/>
      <x:c r="I55" s="94"/>
      <x:c r="J55" s="94"/>
    </x:row>
    <x:row r="56" ht="42" customHeight="1">
      <x:c r="A56" s="88"/>
      <x:c r="B56" s="88" t="str">
        <x:v>Refinancing basis</x:v>
      </x:c>
      <x:c r="C56" s="100" t="n">
        <x:v>0</x:v>
      </x:c>
      <x:c r="D56" s="88" t="str">
        <x:v>0 or 1</x:v>
      </x:c>
      <x:c r="E56" s="88" t="str">
        <x:v>Assumption</x:v>
      </x:c>
      <x:c r="F56" s="94" t="str">
        <x:v>0 = debt held flat except entered changes; 1 = supplied refinancing basis</x:v>
      </x:c>
      <x:c r="G56" s="94"/>
      <x:c r="H56" s="94"/>
      <x:c r="I56" s="94"/>
      <x:c r="J56" s="94"/>
    </x:row>
    <x:row r="57" ht="42" customHeight="1">
      <x:c r="A57" s="88"/>
      <x:c r="B57" s="88" t="str">
        <x:v>Pending-deal revenue excluded</x:v>
      </x:c>
      <x:c r="C57" s="98" t="n">
        <x:v>200</x:v>
      </x:c>
      <x:c r="D57" s="88" t="str">
        <x:v>$m</x:v>
      </x:c>
      <x:c r="E57" s="88" t="str">
        <x:v>Current FY</x:v>
      </x:c>
      <x:c r="F57" s="94" t="str">
        <x:v>Assumption: exclude $200m pending-acquisition revenue and related purchase funding.</x:v>
      </x:c>
      <x:c r="G57" s="94"/>
      <x:c r="H57" s="94"/>
      <x:c r="I57" s="94"/>
      <x:c r="J57" s="94"/>
    </x:row>
    <x:row r="58" ht="24" customHeight="1">
      <x:c r="A58" s="88"/>
      <x:c r="B58" s="105" t="str">
        <x:v>Calculated bridges</x:v>
      </x:c>
      <x:c r="C58" s="105"/>
      <x:c r="D58" s="105"/>
      <x:c r="E58" s="105"/>
      <x:c r="F58" s="105"/>
      <x:c r="G58" s="105"/>
      <x:c r="H58" s="105"/>
      <x:c r="I58" s="105"/>
      <x:c r="J58" s="105"/>
    </x:row>
    <x:row r="59" ht="19" customHeight="1">
      <x:c r="A59" s="88"/>
      <x:c r="B59" s="88" t="str">
        <x:v>Available cash + short-term investments</x:v>
      </x:c>
      <x:c r="C59" s="106" t="n">
        <x:f>'Verified Inputs'!$C$10+'Verified Inputs'!$C$11+'Verified Inputs'!$C$14</x:f>
        <x:v>11403</x:v>
      </x:c>
      <x:c r="D59" s="88"/>
      <x:c r="E59" s="88"/>
      <x:c r="F59" s="88"/>
      <x:c r="G59" s="88"/>
      <x:c r="H59" s="88"/>
      <x:c r="I59" s="88"/>
      <x:c r="J59" s="88"/>
    </x:row>
    <x:row r="60" ht="19" customHeight="1">
      <x:c r="A60" s="88"/>
      <x:c r="B60" s="88" t="str">
        <x:v>Excess cash credited to equity</x:v>
      </x:c>
      <x:c r="C60" s="106" t="n">
        <x:f>MAX(0,C59-'Verified Inputs'!$C$27)</x:f>
        <x:v>8403</x:v>
      </x:c>
      <x:c r="D60" s="88"/>
      <x:c r="E60" s="88"/>
      <x:c r="F60" s="88"/>
      <x:c r="G60" s="88"/>
      <x:c r="H60" s="88"/>
      <x:c r="I60" s="88"/>
      <x:c r="J60" s="88"/>
    </x:row>
    <x:row r="61" ht="19" customHeight="1">
      <x:c r="A61" s="88"/>
      <x:c r="B61" s="88" t="str">
        <x:v>Funded debt including adjustments</x:v>
      </x:c>
      <x:c r="C61" s="106" t="n">
        <x:f>'Verified Inputs'!$C$12+'Verified Inputs'!$C$13</x:f>
        <x:v>39288</x:v>
      </x:c>
      <x:c r="D61" s="88"/>
      <x:c r="E61" s="88"/>
      <x:c r="F61" s="88"/>
      <x:c r="G61" s="88"/>
      <x:c r="H61" s="88"/>
      <x:c r="I61" s="88"/>
      <x:c r="J61" s="88"/>
    </x:row>
    <x:row r="62" ht="19" customHeight="1">
      <x:c r="A62" s="88"/>
      <x:c r="B62" s="88" t="str">
        <x:v>Net debt after excess cash</x:v>
      </x:c>
      <x:c r="C62" s="98" t="n">
        <x:f>C61-C60</x:f>
        <x:v>30885</x:v>
      </x:c>
      <x:c r="D62" s="88"/>
      <x:c r="E62" s="88"/>
      <x:c r="F62" s="88"/>
      <x:c r="G62" s="88"/>
      <x:c r="H62" s="88"/>
      <x:c r="I62" s="88"/>
      <x:c r="J62" s="88"/>
    </x:row>
    <x:row r="63" ht="19" customHeight="1">
      <x:c r="A63" s="88"/>
      <x:c r="B63" s="88" t="str">
        <x:v>Market equity for WACC</x:v>
      </x:c>
      <x:c r="C63" s="106" t="n">
        <x:f>'Verified Inputs'!$C$7*'Verified Inputs'!$C$9</x:f>
        <x:v>212568.6</x:v>
      </x:c>
      <x:c r="D63" s="88"/>
      <x:c r="E63" s="88"/>
      <x:c r="F63" s="88"/>
      <x:c r="G63" s="88"/>
      <x:c r="H63" s="88"/>
      <x:c r="I63" s="88"/>
      <x:c r="J63" s="88"/>
    </x:row>
    <x:row r="64" ht="19" customHeight="1">
      <x:c r="A64" s="88"/>
      <x:c r="B64" s="88" t="str">
        <x:v>LTM revenue</x:v>
      </x:c>
      <x:c r="C64" s="106" t="n">
        <x:f>'Verified Inputs'!$C$30+'Verified Inputs'!$C$36-'Verified Inputs'!$C$39</x:f>
        <x:v>43938</x:v>
      </x:c>
      <x:c r="D64" s="88"/>
      <x:c r="E64" s="88"/>
      <x:c r="F64" s="88"/>
      <x:c r="G64" s="88"/>
      <x:c r="H64" s="88"/>
      <x:c r="I64" s="88"/>
      <x:c r="J64" s="88"/>
    </x:row>
    <x:row r="65" ht="19" customHeight="1">
      <x:c r="A65" s="88"/>
      <x:c r="B65" s="88" t="str">
        <x:v>Normalized LTM EBIT</x:v>
      </x:c>
      <x:c r="C65" s="106" t="n">
        <x:f>'Verified Inputs'!$C$31+'Verified Inputs'!$C$37-'Verified Inputs'!$C$38-'Verified Inputs'!$C$40</x:f>
        <x:v>8735</x:v>
      </x:c>
      <x:c r="D65" s="88"/>
      <x:c r="E65" s="88"/>
      <x:c r="F65" s="88"/>
      <x:c r="G65" s="88"/>
      <x:c r="H65" s="88"/>
      <x:c r="I65" s="88"/>
      <x:c r="J65" s="88"/>
    </x:row>
    <x:row r="66" ht="19" customHeight="1">
      <x:c r="A66" s="88"/>
      <x:c r="B66" s="88" t="str">
        <x:v>Reported LTM D&amp;A</x:v>
      </x:c>
      <x:c r="C66" s="106" t="n">
        <x:f>'Verified Inputs'!$C$32+'Verified Inputs'!$C$42-'Verified Inputs'!$C$43</x:f>
        <x:v>3922</x:v>
      </x:c>
      <x:c r="D66" s="88"/>
      <x:c r="E66" s="88"/>
      <x:c r="F66" s="88"/>
      <x:c r="G66" s="88"/>
      <x:c r="H66" s="88"/>
      <x:c r="I66" s="88"/>
      <x:c r="J66" s="88"/>
    </x:row>
    <x:row r="67" ht="19" customHeight="1">
      <x:c r="A67" s="88"/>
      <x:c r="B67" s="88" t="str">
        <x:v>Opening asset reconstruction</x:v>
      </x:c>
      <x:c r="C67" s="106" t="n">
        <x:f>'Verified Inputs'!$C$10+'Verified Inputs'!$C$11+'Verified Inputs'!$C$18+SUM(C20:C24)</x:f>
        <x:v>109620</x:v>
      </x:c>
      <x:c r="D67" s="88"/>
      <x:c r="E67" s="88"/>
      <x:c r="F67" s="88"/>
      <x:c r="G67" s="88"/>
      <x:c r="H67" s="88"/>
      <x:c r="I67" s="88"/>
      <x:c r="J67" s="88"/>
    </x:row>
    <x:row r="68" ht="19" customHeight="1">
      <x:c r="A68" s="88"/>
      <x:c r="B68" s="88" t="str">
        <x:v>Opening liabilities + equity</x:v>
      </x:c>
      <x:c r="C68" s="106" t="n">
        <x:f>'Verified Inputs'!$C$19+'Verified Inputs'!$C$12+'Verified Inputs'!$C$25+'Verified Inputs'!$C$26+'Verified Inputs'!$C$17</x:f>
        <x:v>109620</x:v>
      </x:c>
      <x:c r="D68" s="88"/>
      <x:c r="E68" s="88"/>
      <x:c r="F68" s="88"/>
      <x:c r="G68" s="88"/>
      <x:c r="H68" s="88"/>
      <x:c r="I68" s="88"/>
      <x:c r="J68" s="88"/>
    </x:row>
    <x:row r="69" ht="19" customHeight="1">
      <x:c r="A69" s="88"/>
      <x:c r="B69" s="88"/>
      <x:c r="C69" s="88"/>
      <x:c r="D69" s="88"/>
      <x:c r="E69" s="88"/>
      <x:c r="F69" s="88"/>
      <x:c r="G69" s="88"/>
      <x:c r="H69" s="88"/>
      <x:c r="I69" s="88"/>
      <x:c r="J69" s="88"/>
    </x:row>
    <x:row r="70" ht="19" customHeight="1">
      <x:c r="A70" s="88"/>
      <x:c r="B70" s="88"/>
      <x:c r="C70" s="88"/>
      <x:c r="D70" s="88"/>
      <x:c r="E70" s="88"/>
      <x:c r="F70" s="88"/>
      <x:c r="G70" s="88"/>
      <x:c r="H70" s="88"/>
      <x:c r="I70" s="88"/>
      <x:c r="J70" s="88"/>
    </x:row>
    <x:row r="71" ht="19" customHeight="1">
      <x:c r="A71" s="88"/>
      <x:c r="B71" s="107" t="str">
        <x:v>Q2 source: https://investor.salesforce.com/news/news-details/2026/Salesforce-Delivers-Record-Second-Quarter-Fiscal-2027-Results/default.aspx</x:v>
      </x:c>
      <x:c r="C71" s="107"/>
      <x:c r="D71" s="107"/>
      <x:c r="E71" s="107"/>
      <x:c r="F71" s="107"/>
      <x:c r="G71" s="107"/>
      <x:c r="H71" s="107"/>
      <x:c r="I71" s="107"/>
      <x:c r="J71" s="107"/>
    </x:row>
    <x:row r="72" ht="19" customHeight="1">
      <x:c r="A72" s="88"/>
      <x:c r="B72" s="107"/>
      <x:c r="C72" s="107"/>
      <x:c r="D72" s="107"/>
      <x:c r="E72" s="107"/>
      <x:c r="F72" s="107"/>
      <x:c r="G72" s="107"/>
      <x:c r="H72" s="107"/>
      <x:c r="I72" s="107"/>
      <x:c r="J72" s="107"/>
    </x:row>
    <x:row r="73" ht="19" customHeight="1">
      <x:c r="A73" s="88"/>
      <x:c r="B73" s="107"/>
      <x:c r="C73" s="107"/>
      <x:c r="D73" s="107"/>
      <x:c r="E73" s="107"/>
      <x:c r="F73" s="107"/>
      <x:c r="G73" s="107"/>
      <x:c r="H73" s="107"/>
      <x:c r="I73" s="107"/>
      <x:c r="J73" s="107"/>
    </x:row>
    <x:row r="74" ht="19" customHeight="1">
      <x:c r="A74" s="88"/>
      <x:c r="B74" s="88"/>
      <x:c r="C74" s="88"/>
      <x:c r="D74" s="88"/>
      <x:c r="E74" s="88"/>
      <x:c r="F74" s="88"/>
      <x:c r="G74" s="88"/>
      <x:c r="H74" s="88"/>
      <x:c r="I74" s="88"/>
      <x:c r="J74" s="88"/>
    </x:row>
    <x:row r="75" ht="19" customHeight="1">
      <x:c r="A75" s="88"/>
      <x:c r="B75" s="107" t="str">
        <x:v>FY source: https://investor.salesforce.com/news/news-details/2026/Salesforce-Delivers-Record-Fourth-Quarter-Fiscal-2026-Results/default.aspx</x:v>
      </x:c>
      <x:c r="C75" s="107"/>
      <x:c r="D75" s="107"/>
      <x:c r="E75" s="107"/>
      <x:c r="F75" s="107"/>
      <x:c r="G75" s="107"/>
      <x:c r="H75" s="107"/>
      <x:c r="I75" s="107"/>
      <x:c r="J75" s="107"/>
    </x:row>
    <x:row r="76" ht="19" customHeight="1">
      <x:c r="A76" s="88"/>
      <x:c r="B76" s="107"/>
      <x:c r="C76" s="107"/>
      <x:c r="D76" s="107"/>
      <x:c r="E76" s="107"/>
      <x:c r="F76" s="107"/>
      <x:c r="G76" s="107"/>
      <x:c r="H76" s="107"/>
      <x:c r="I76" s="107"/>
      <x:c r="J76" s="107"/>
    </x:row>
    <x:row r="77" ht="19" customHeight="1">
      <x:c r="A77" s="88"/>
      <x:c r="B77" s="107"/>
      <x:c r="C77" s="107"/>
      <x:c r="D77" s="107"/>
      <x:c r="E77" s="107"/>
      <x:c r="F77" s="107"/>
      <x:c r="G77" s="107"/>
      <x:c r="H77" s="107"/>
      <x:c r="I77" s="107"/>
      <x:c r="J77" s="107"/>
    </x:row>
    <x:row r="78" ht="19" customHeight="1">
      <x:c r="A78" s="88"/>
      <x:c r="B78" s="88"/>
      <x:c r="C78" s="88"/>
      <x:c r="D78" s="88"/>
      <x:c r="E78" s="88"/>
      <x:c r="F78" s="88"/>
      <x:c r="G78" s="88"/>
      <x:c r="H78" s="88"/>
      <x:c r="I78" s="88"/>
      <x:c r="J78" s="88"/>
    </x:row>
    <x:row r="79" ht="19" customHeight="1">
      <x:c r="A79" s="88"/>
      <x:c r="B79" s="88"/>
      <x:c r="C79" s="88"/>
      <x:c r="D79" s="88"/>
      <x:c r="E79" s="88"/>
      <x:c r="F79" s="88"/>
      <x:c r="G79" s="88"/>
      <x:c r="H79" s="88"/>
      <x:c r="I79" s="88"/>
      <x:c r="J79" s="88"/>
    </x:row>
  </x:sheetData>
  <x:mergeCells>
    <x:mergeCell ref="A1:J1"/>
    <x:mergeCell ref="A2:J3"/>
    <x:mergeCell ref="F5:J5"/>
    <x:mergeCell ref="F6:J6"/>
    <x:mergeCell ref="F7:J7"/>
    <x:mergeCell ref="F8:J8"/>
    <x:mergeCell ref="F9:J9"/>
    <x:mergeCell ref="F10:J10"/>
    <x:mergeCell ref="F11:J11"/>
    <x:mergeCell ref="F12:J12"/>
    <x:mergeCell ref="F13:J13"/>
    <x:mergeCell ref="F14:J14"/>
    <x:mergeCell ref="F15:J15"/>
    <x:mergeCell ref="F16:J16"/>
    <x:mergeCell ref="F17:J17"/>
    <x:mergeCell ref="F18:J18"/>
    <x:mergeCell ref="F19:J19"/>
    <x:mergeCell ref="F20:J20"/>
    <x:mergeCell ref="F21:J21"/>
    <x:mergeCell ref="F22:J22"/>
    <x:mergeCell ref="F23:J23"/>
    <x:mergeCell ref="F24:J24"/>
    <x:mergeCell ref="F25:J25"/>
    <x:mergeCell ref="F26:J26"/>
    <x:mergeCell ref="F27:J27"/>
    <x:mergeCell ref="F30:J30"/>
    <x:mergeCell ref="F31:J31"/>
    <x:mergeCell ref="F32:J32"/>
    <x:mergeCell ref="F34:J34"/>
    <x:mergeCell ref="F36:J36"/>
    <x:mergeCell ref="F37:J37"/>
    <x:mergeCell ref="F38:J38"/>
    <x:mergeCell ref="F39:J39"/>
    <x:mergeCell ref="F40:J40"/>
    <x:mergeCell ref="F41:J41"/>
    <x:mergeCell ref="F42:J42"/>
    <x:mergeCell ref="F43:J43"/>
    <x:mergeCell ref="F44:J44"/>
    <x:mergeCell ref="F45:J45"/>
    <x:mergeCell ref="F46:J46"/>
    <x:mergeCell ref="F47:J47"/>
    <x:mergeCell ref="F48:J48"/>
    <x:mergeCell ref="F49:J49"/>
    <x:mergeCell ref="F50:J50"/>
    <x:mergeCell ref="F51:J51"/>
    <x:mergeCell ref="F52:J52"/>
    <x:mergeCell ref="F53:J53"/>
    <x:mergeCell ref="F54:J54"/>
    <x:mergeCell ref="F55:J55"/>
    <x:mergeCell ref="F56:J56"/>
    <x:mergeCell ref="F57:J57"/>
    <x:mergeCell ref="B58:J58"/>
    <x:mergeCell ref="B71:J73"/>
    <x:mergeCell ref="B75:J77"/>
  </x:mergeCells>
  <x:pageMargins left="0.7" right="0.7" top="0.75" bottom="0.75" header="0.3" footer="0.3"/>
  <x:legacyDrawing xmlns:r="http://schemas.openxmlformats.org/officeDocument/2006/relationships" r:id="Rbf99aa5ea54341ee"/>
</x:worksheet>
</file>