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1.xml" ContentType="application/vnd.openxmlformats-officedocument.spreadsheetml.comments+xml"/>
  <Override PartName="/xl/worksheets/sheet6.xml" ContentType="application/vnd.openxmlformats-officedocument.spreadsheetml.worksheet+xml"/>
  <Override PartName="/xl/comments2.xml" ContentType="application/vnd.openxmlformats-officedocument.spreadsheetml.comments+xml"/>
  <Override PartName="/xl/worksheets/sheet7.xml" ContentType="application/vnd.openxmlformats-officedocument.spreadsheetml.worksheet+xml"/>
  <Override PartName="/xl/comments3.xml" ContentType="application/vnd.openxmlformats-officedocument.spreadsheetml.comment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4.xml" ContentType="application/vnd.openxmlformats-officedocument.spreadsheetml.comments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comments5.xml" ContentType="application/vnd.openxmlformats-officedocument.spreadsheetml.comments+xml"/>
  <Override PartName="/xl/threadedcomments/threadedcomment.xml" ContentType="application/vnd.ms-excel.threadedcomments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5f84f6e7a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77bee6f5ad14cf7"/>
    <x:sheet xmlns:r="http://schemas.openxmlformats.org/officeDocument/2006/relationships" name="Valuation Summary" sheetId="2" r:id="R9bd57155c9364f6f"/>
    <x:sheet xmlns:r="http://schemas.openxmlformats.org/officeDocument/2006/relationships" name="Assumptions" sheetId="3" r:id="R8cb8f59f1a744b69"/>
    <x:sheet xmlns:r="http://schemas.openxmlformats.org/officeDocument/2006/relationships" name="Historical Financials" sheetId="4" r:id="R7c6fc4ca8fef4c47"/>
    <x:sheet xmlns:r="http://schemas.openxmlformats.org/officeDocument/2006/relationships" name="Portfolio &amp; Divestiture" sheetId="5" r:id="Rf8a7ae1d6b3c4460"/>
    <x:sheet xmlns:r="http://schemas.openxmlformats.org/officeDocument/2006/relationships" name="Operating Forecast" sheetId="6" r:id="R2be34e8b67f74e58"/>
    <x:sheet xmlns:r="http://schemas.openxmlformats.org/officeDocument/2006/relationships" name="Trading Comps" sheetId="7" r:id="R4c64fcc31e5b426b"/>
    <x:sheet xmlns:r="http://schemas.openxmlformats.org/officeDocument/2006/relationships" name="DCF" sheetId="8" r:id="R75d14ec6252c4bb3"/>
    <x:sheet xmlns:r="http://schemas.openxmlformats.org/officeDocument/2006/relationships" name="Transactions" sheetId="9" r:id="R027a24227aca4834"/>
    <x:sheet xmlns:r="http://schemas.openxmlformats.org/officeDocument/2006/relationships" name="Sum-of-the-Parts" sheetId="10" r:id="Rf729006ba6a14958"/>
    <x:sheet xmlns:r="http://schemas.openxmlformats.org/officeDocument/2006/relationships" name="Acquisition Returns" sheetId="11" r:id="R37fc5dda43a6429e"/>
    <x:sheet xmlns:r="http://schemas.openxmlformats.org/officeDocument/2006/relationships" name="Sensitivities" sheetId="12" r:id="R1677c6f09aec4354"/>
    <x:sheet xmlns:r="http://schemas.openxmlformats.org/officeDocument/2006/relationships" name="Sources &amp; Adjustments" sheetId="13" r:id="R5d06e51007094536"/>
    <x:sheet xmlns:r="http://schemas.openxmlformats.org/officeDocument/2006/relationships" name="Checks" sheetId="14" r:id="Rdd463a74b48440cc"/>
    <x:sheet xmlns:r="http://schemas.openxmlformats.org/officeDocument/2006/relationships" name="Source Inputs" sheetId="15" r:id="R328831f67e21443b"/>
  </x:sheets>
</x:workbook>
</file>

<file path=xl/comments1.xml><?xml version="1.0" encoding="utf-8"?>
<x:comments xmlns:x="http://schemas.openxmlformats.org/spreadsheetml/2006/main">
  <x:authors>
    <x:author>Unknown Author</x:author>
  </x:authors>
  <x:commentList>
    <x:comment ref="C11" authorId="0">
      <x:text>
        <x:r>
          <x:t>Estimated from the consensus step-down (FY2025 reported $1,451M → FY2026 consensus ~$1,189M continuing). Refine with the segment footnote in the 10-K.</x:t>
        </x:r>
      </x:text>
    </x:comment>
  </x:commentList>
</x:comments>
</file>

<file path=xl/comments2.xml><?xml version="1.0" encoding="utf-8"?>
<x:comments xmlns:x="http://schemas.openxmlformats.org/spreadsheetml/2006/main">
  <x:authors>
    <x:author>Unknown Author</x:author>
  </x:authors>
  <x:commentList>
    <x:comment ref="C52" authorId="0">
      <x:text>
        <x:r>
          <x:t>Equity/other-liability split estimated so opening ties to CIQ total assets $3,998M and debt $894.5M. Equity roll = +NI - buybacks + SBC (M&amp;A is cash/asset funded).</x:t>
        </x:r>
      </x:text>
    </x:comment>
  </x:commentList>
</x:comments>
</file>

<file path=xl/comments3.xml><?xml version="1.0" encoding="utf-8"?>
<x:comments xmlns:x="http://schemas.openxmlformats.org/spreadsheetml/2006/main">
  <x:authors>
    <x:author>Unknown Author</x:author>
  </x:authors>
  <x:commentList>
    <x:comment ref="C18" authorId="0">
      <x:text>
        <x:r>
          <x:t>Below the peer median: ZD's earnings carry more amortization and secular-decline risk than the higher-quality peers. A re-rating to peer levels is the upside case.</x:t>
        </x:r>
      </x:text>
    </x:comment>
    <x:comment ref="G14" authorId="0">
      <x:text>
        <x:r>
          <x:t>ZD trades at ~3x continuing EV/EBITDA vs a ~6-7x peer median — a steep discount reflecting market skepticism on digital-media earnings quality and amortization drag.</x:t>
        </x:r>
      </x:text>
    </x:comment>
  </x:commentList>
</x:comments>
</file>

<file path=xl/comments4.xml><?xml version="1.0" encoding="utf-8"?>
<x:comments xmlns:x="http://schemas.openxmlformats.org/spreadsheetml/2006/main">
  <x:authors>
    <x:author>Unknown Author</x:author>
  </x:authors>
  <x:commentList>
    <x:comment ref="D15" authorId="0">
      <x:text>
        <x:r>
          <x:t>The two deals with clean EBITDA denominators (Z Holdings 8.2x, Yahoo Japan 7.1x) cluster ~7-8x. Revenue multiples span 1.2-1.8x for the media-relevant deals (Snap/Grindr excluded as outliers).</x:t>
        </x:r>
      </x:text>
    </x:comment>
  </x:commentList>
</x:comments>
</file>

<file path=xl/comments5.xml><?xml version="1.0" encoding="utf-8"?>
<x:comments xmlns:x="http://schemas.openxmlformats.org/spreadsheetml/2006/main">
  <x:authors>
    <x:author>tc={60F3F716-D278-4BEB-BBD3-DBC6928EA2A5}</x:author>
    <x:author>tc={86EA0B23-99ED-4A49-A4B3-EC75F3E77210}</x:author>
    <x:author>tc={3D972130-7C56-4A15-8568-BD0970A728B0}</x:author>
    <x:author>tc={B14EE0E2-AE3D-474E-AD39-F2F26E260D32}</x:author>
    <x:author>tc={31043338-2772-47AB-9E72-993444CBD256}</x:author>
    <x:author>tc={34C01D6B-0135-47A0-B724-6ED12FEF36BB}</x:author>
    <x:author>tc={BADC168F-6B93-446E-B41E-6A09BA4F81D9}</x:author>
    <x:author>tc={AE48EFB4-8AF4-440A-AC84-44EF840D949A}</x:author>
    <x:author>tc={34E03206-C36B-4E9F-BFBC-92374066D7F1}</x:author>
    <x:author>tc={48F54630-01D2-4247-A577-C8251CF0C240}</x:author>
    <x:author>tc={2642373F-89FB-4BC6-BFF8-215E8F85BBF0}</x:author>
    <x:author>tc={A4B14DFA-5FA6-4E0F-BFD0-AD043B42B05F}</x:author>
    <x:author>tc={606C2B57-521A-4A7B-93DC-D1B9CE63987A}</x:author>
    <x:author>tc={94E3C804-4791-41D3-B702-89F429679E50}</x:author>
    <x:author>tc={EA55826F-466D-4CE8-91AE-DE06DE352D7F}</x:author>
    <x:author>tc={72F9EB2A-8862-4913-91E9-0943438C00D1}</x:author>
    <x:author>tc={427625FB-2FCB-48C7-BF10-68AE7BCFA70E}</x:author>
    <x:author>tc={1163D476-F1EB-43D2-9C80-49E2230FFEA8}</x:author>
    <x:author>tc={88A4A723-6569-49ED-BC3A-A70AAE592567}</x:author>
    <x:author>tc={E9ACC1B2-986B-4B7E-9EB5-864F2B065018}</x:author>
    <x:author>tc={6E34CC68-533B-4AF5-96B5-1702C569808E}</x:author>
    <x:author>tc={75E4D187-7BFB-41A8-A4A9-6E704FC93C71}</x:author>
    <x:author>tc={01978C36-D45A-4417-872C-BB31B2358A0F}</x:author>
    <x:author>tc={B3C07CA6-CBAF-4779-8C20-0215979BEDF0}</x:author>
    <x:author>tc={52190734-1CD1-494A-8C94-38F7CCEC94ED}</x:author>
  </x:authors>
  <x:commentList>
    <x:comment ref="C9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10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11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14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16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17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18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19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20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21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22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23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24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25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26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27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28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29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30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31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32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33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34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35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36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<x:sst xmlns:x="http://schemas.openxmlformats.org/spreadsheetml/2006/main">
  <x:si>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HISTORICAL FINANCIALS — Reported vs Normalized</x:t>
  </x:si>
  <x:si>
    <x:t xml:space="preserve">Income statement (as reported)</x:t>
  </x:si>
  <x:si>
    <x:t xml:space="preserve">($ in millions)</x:t>
  </x:si>
  <x:si>
    <x:t xml:space="preserve">FY2021</x:t>
  </x:si>
  <x:si>
    <x:t xml:space="preserve">FY2022</x:t>
  </x:si>
  <x:si>
    <x:t xml:space="preserve">FY2023</x:t>
  </x:si>
  <x:si>
    <x:t xml:space="preserve">FY2024</x:t>
  </x:si>
  <x:si>
    <x:t xml:space="preserve">FY2025</x:t>
  </x:si>
  <x:si>
    <x:t xml:space="preserve">12/31/21</x:t>
  </x:si>
  <x:si>
    <x:t xml:space="preserve">12/31/22</x:t>
  </x:si>
  <x:si>
    <x:t xml:space="preserve">12/31/23</x:t>
  </x:si>
  <x:si>
    <x:t xml:space="preserve">12/31/24</x:t>
  </x:si>
  <x:si>
    <x:t xml:space="preserve">12/31/25</x:t>
  </x:si>
  <x:si>
    <x:t xml:space="preserve">Total revenue</x:t>
  </x:si>
  <x:si>
    <x:t xml:space="preserve">   EBITDA margin %</x:t>
  </x:si>
  <x:si>
    <x:t xml:space="preserve">Depreciation &amp; amortization</x:t>
  </x:si>
  <x:si>
    <x:t xml:space="preserve">Operating income (EBIT)</x:t>
  </x:si>
  <x:si>
    <x:t xml:space="preserve">Interest expense</x:t>
  </x:si>
  <x:si>
    <x:t xml:space="preserve">Net income — REPORTED</x:t>
  </x:si>
  <x:si>
    <x:t xml:space="preserve">Diluted EPS — reported ($)</x:t>
  </x:si>
  <x:si>
    <x:t xml:space="preserve">Normalized (Capital IQ)</x:t>
  </x:si>
  <x:si>
    <x:t xml:space="preserve">Stock-based compensation</x:t>
  </x:si>
  <x:si>
    <x:t xml:space="preserve">Diluted shares (M)</x:t>
  </x:si>
  <x:si>
    <x:t xml:space="preserve">Cash flow (selected)</x:t>
  </x:si>
  <x:si>
    <x:t xml:space="preserve">Operating cash flow</x:t>
  </x:si>
  <x:si>
    <x:t xml:space="preserve">Capital expenditures</x:t>
  </x:si>
  <x:si>
    <x:t xml:space="preserve">Cash acquisitions (serial M&amp;A)</x:t>
  </x:si>
  <x:si>
    <x:t xml:space="preserve">Share repurchases</x:t>
  </x:si>
  <x:si>
    <x:t xml:space="preserve">Free cash flow (OCF − capex)</x:t>
  </x:si>
</x:sst>
</file>

<file path=xl/styles.xml><?xml version="1.0" encoding="utf-8"?>
<x:styleSheet xmlns:x="http://schemas.openxmlformats.org/spreadsheetml/2006/main">
  <x:numFmts count="17">
    <x:numFmt numFmtId="164" formatCode="General"/>
    <x:numFmt numFmtId="165" formatCode="\$#,##0.00;&quot;($&quot;#,##0.00\);\-"/>
    <x:numFmt numFmtId="166" formatCode="\$#,##0;&quot;($&quot;#,##0\);\-"/>
    <x:numFmt numFmtId="167" formatCode="0"/>
    <x:numFmt numFmtId="168" formatCode="0.0%;\(0.0%\);\-"/>
    <x:numFmt numFmtId="169" formatCode="#,##0.0"/>
    <x:numFmt numFmtId="170" formatCode="0.00"/>
    <x:numFmt numFmtId="171" formatCode="0.0\x;\(0.0&quot;x)&quot;;\-"/>
    <x:numFmt numFmtId="172" formatCode="0.000"/>
    <x:numFmt numFmtId="173" formatCode="0.00\x"/>
    <x:numFmt numFmtId="200" formatCode="mmm d, yyyy"/>
    <x:numFmt numFmtId="201" formatCode="$0.00;($0.00);&quot;—&quot;"/>
    <x:numFmt numFmtId="202" formatCode="#,##0.0;(#,##0.0);&quot;—&quot;"/>
    <x:numFmt numFmtId="203" formatCode="0.0%;(0.0%);&quot;—&quot;"/>
    <x:numFmt numFmtId="204" formatCode="0.0&quot;x&quot;"/>
    <x:numFmt numFmtId="205" formatCode="0.0"/>
    <x:numFmt numFmtId="206" formatCode="0.0000"/>
  </x:numFmts>
  <x:fonts count="40">
    <x:font>
      <x:sz val="11"/>
      <x:color theme="1"/>
      <x:name val="Calibri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6"/>
      <x:color rgb="FFFFFFFF"/>
      <x:name val="Arial"/>
    </x:font>
    <x:font>
      <x:i/>
      <x:sz val="9"/>
      <x:color rgb="FFB8860B"/>
      <x:name val="Arial"/>
    </x:font>
    <x:font>
      <x:b/>
      <x:sz val="12"/>
      <x:color rgb="FF1A1A17"/>
      <x:name val="Arial"/>
    </x:font>
    <x:font>
      <x:sz val="10"/>
      <x:color rgb="FF1A1A17"/>
      <x:name val="Arial"/>
    </x:font>
    <x:font>
      <x:b/>
      <x:sz val="10"/>
      <x:color rgb="FF1A1A17"/>
      <x:name val="Arial"/>
    </x:font>
    <x:font>
      <x:b/>
      <x:sz val="10"/>
      <x:color rgb="FF0000FF"/>
      <x:name val="Arial"/>
    </x:font>
    <x:font>
      <x:b/>
      <x:sz val="10"/>
      <x:color rgb="FF000000"/>
      <x:name val="Arial"/>
    </x:font>
    <x:font>
      <x:b/>
      <x:sz val="10"/>
      <x:color rgb="FF008000"/>
      <x:name val="Arial"/>
    </x:font>
    <x:font>
      <x:b/>
      <x:sz val="10"/>
      <x:color rgb="FFFF0000"/>
      <x:name val="Arial"/>
    </x:font>
    <x:font>
      <x:b/>
      <x:sz val="11"/>
      <x:color rgb="FF1A1A17"/>
      <x:name val="Arial"/>
    </x:font>
    <x:font>
      <x:sz val="10"/>
      <x:color rgb="FF008000"/>
      <x:name val="Arial"/>
    </x:font>
    <x:font>
      <x:sz val="9"/>
      <x:color rgb="FF1A1A17"/>
      <x:name val="Arial"/>
    </x:font>
    <x:font>
      <x:sz val="10"/>
      <x:color rgb="FF0000FF"/>
      <x:name val="Arial"/>
    </x:font>
    <x:font>
      <x:b/>
      <x:sz val="11"/>
      <x:color rgb="FFB8860B"/>
      <x:name val="Arial"/>
    </x:font>
    <x:font>
      <x:b/>
      <x:sz val="18"/>
      <x:color rgb="FF000000"/>
      <x:name val="Calibri"/>
    </x:font>
    <x:font>
      <x:sz val="10"/>
      <x:color rgb="FF000000"/>
      <x:name val="Calibri"/>
    </x:font>
    <x:font>
      <x:b/>
      <x:sz val="10"/>
      <x:color rgb="FFB8860B"/>
      <x:name val="Arial"/>
    </x:font>
    <x:font>
      <x:i/>
      <x:sz val="8"/>
      <x:color rgb="FF1A1A17"/>
      <x:name val="Arial"/>
    </x:font>
    <x:font>
      <x:i/>
      <x:sz val="10"/>
      <x:color rgb="FF1A1A17"/>
      <x:name val="Arial"/>
    </x:font>
    <x:font>
      <x:i/>
      <x:sz val="9"/>
      <x:color rgb="FF1A1A17"/>
      <x:name val="Arial"/>
    </x:font>
    <x:font>
      <x:sz val="10"/>
      <x:color rgb="FF000000"/>
      <x:name val="Arial"/>
    </x:font>
    <x:font>
      <x:sz val="10"/>
      <x:color rgb="FFFF0000"/>
      <x:name val="Arial"/>
    </x:font>
    <x:font>
      <x:i/>
      <x:sz val="8"/>
      <x:color rgb="FFFF0000"/>
      <x:name val="Arial"/>
    </x:font>
    <x:font>
      <x:sz val="10"/>
      <x:name val="Arial"/>
    </x:font>
    <x:font>
      <x:i/>
      <x:sz val="10"/>
      <x:color rgb="FF000000"/>
      <x:name val="Arial"/>
    </x:font>
    <x:font>
      <x:b/>
      <x:sz val="10"/>
      <x:name val="Arial"/>
    </x:font>
    <x:font>
      <x:i/>
      <x:sz val="9"/>
      <x:color rgb="FFFF0000"/>
      <x:name val="Arial"/>
    </x:font>
    <x:font>
      <x:b/>
      <x:sz val="9"/>
      <x:color rgb="FF1A1A17"/>
      <x:name val="Arial"/>
    </x:font>
    <x:font>
      <x:b/>
      <x:sz val="11"/>
      <x:color rgb="FF008000"/>
      <x:name val="Arial"/>
    </x:font>
    <x:font>
      <x:sz val="10"/>
      <x:color rgb="FFB8860B"/>
      <x:name val="Arial"/>
    </x:font>
    <x:font>
      <x:i/>
      <x:sz val="10"/>
      <x:color rgb="FFB8860B"/>
      <x:name val="Arial"/>
    </x:font>
    <x:font>
      <x:b/>
      <x:i/>
      <x:sz val="10"/>
      <x:color rgb="FF1A1A17"/>
      <x:name val="Arial"/>
    </x:font>
    <x:font>
      <x:i/>
      <x:sz val="10"/>
      <x:color rgb="FF008000"/>
      <x:name val="Arial"/>
    </x:font>
    <x:font>
      <x:sz val="11"/>
      <x:color rgb="FF1A1A17"/>
      <x:name val="Calibri"/>
    </x:font>
    <x:font>
      <x:sz val="10"/>
      <x:color rgb="FF1A1A17"/>
      <x:name val="Calibri"/>
    </x:font>
    <x:font>
      <x:sz val="10"/>
      <x:color theme="1"/>
      <x:name val="Calibri"/>
    </x:font>
  </x:fonts>
  <x:fills count="11">
    <x:fill>
      <x:patternFill patternType="none"/>
    </x:fill>
    <x:fill>
      <x:patternFill patternType="gray125"/>
    </x:fill>
    <x:fill>
      <x:patternFill patternType="solid">
        <x:fgColor rgb="FF2E2A22"/>
      </x:patternFill>
    </x:fill>
    <x:fill>
      <x:patternFill patternType="solid">
        <x:fgColor rgb="FFFDF7EE"/>
      </x:patternFill>
    </x:fill>
    <x:fill>
      <x:patternFill patternType="solid">
        <x:fgColor rgb="FFEFE6D2"/>
      </x:patternFill>
    </x:fill>
    <x:fill>
      <x:patternFill patternType="solid">
        <x:fgColor rgb="FFFFF2A8"/>
      </x:patternFill>
    </x:fill>
    <x:fill>
      <x:patternFill patternType="solid">
        <x:fgColor rgb="FFF3E6C4"/>
      </x:patternFill>
    </x:fill>
    <x:fill>
      <x:patternFill patternType="solid">
        <x:fgColor rgb="FFFDF7EE"/>
      </x:patternFill>
    </x:fill>
    <x:fill>
      <x:patternFill patternType="solid">
        <x:fgColor rgb="FF2E2A22"/>
      </x:patternFill>
    </x:fill>
    <x:fill>
      <x:patternFill patternType="solid">
        <x:fgColor rgb="FFFFF2CC"/>
      </x:patternFill>
    </x:fill>
    <x:fill>
      <x:patternFill patternType="solid">
        <x:fgColor rgb="FFEFE6D2"/>
      </x:patternFill>
    </x:fill>
  </x:fills>
  <x:borders count="1">
    <x:border diagonalUp="0" diagonalDown="0"/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303">
    <x:xf numFmtId="164" fontId="0" fillId="0" borderId="0" xfId="0" applyFont="0" applyBorder="0" applyAlignment="0">
      <x:alignment horizontal="general" vertical="bottom" wrapText="0"/>
    </x:xf>
    <x:xf numFmtId="164" fontId="4" fillId="2" borderId="0" xfId="0" applyFont="1" applyBorder="1" applyAlignment="1">
      <x:alignment horizontal="left" vertical="center" wrapText="0"/>
    </x:xf>
    <x:xf numFmtId="164" fontId="0" fillId="3" borderId="0" xfId="0" applyFont="0" applyBorder="0" applyAlignment="0">
      <x:alignment horizontal="general" vertical="bottom" wrapText="0"/>
    </x:xf>
    <x:xf numFmtId="164" fontId="5" fillId="3" borderId="0" xfId="0" applyFont="1" applyBorder="1" applyAlignment="0">
      <x:alignment horizontal="general" vertical="bottom" wrapText="0"/>
    </x:xf>
    <x:xf numFmtId="164" fontId="6" fillId="3" borderId="0" xfId="0" applyFont="1" applyBorder="0" applyAlignment="0">
      <x:alignment horizontal="general" vertical="bottom" wrapText="0"/>
    </x:xf>
    <x:xf numFmtId="164" fontId="7" fillId="3" borderId="0" xfId="0" applyFont="1" applyBorder="1" applyAlignment="1">
      <x:alignment horizontal="left" vertical="top" wrapText="1"/>
    </x:xf>
    <x:xf numFmtId="164" fontId="8" fillId="3" borderId="0" xfId="0" applyFont="1" applyBorder="0" applyAlignment="0">
      <x:alignment horizontal="general" vertical="bottom" wrapText="0"/>
    </x:xf>
    <x:xf numFmtId="164" fontId="7" fillId="3" borderId="0" xfId="0" applyFont="1" applyBorder="0" applyAlignment="0">
      <x:alignment horizontal="general" vertical="bottom" wrapText="0"/>
    </x:xf>
    <x:xf numFmtId="164" fontId="5" fillId="3" borderId="0" xfId="0" applyFont="1" applyBorder="1" applyAlignment="1">
      <x:alignment horizontal="left" vertical="top" wrapText="1"/>
    </x:xf>
    <x:xf numFmtId="164" fontId="9" fillId="3" borderId="0" xfId="0" applyFont="1" applyBorder="0" applyAlignment="0">
      <x:alignment horizontal="general" vertical="bottom" wrapText="0"/>
    </x:xf>
    <x:xf numFmtId="164" fontId="10" fillId="3" borderId="0" xfId="0" applyFont="1" applyBorder="0" applyAlignment="0">
      <x:alignment horizontal="general" vertical="bottom" wrapText="0"/>
    </x:xf>
    <x:xf numFmtId="164" fontId="11" fillId="3" borderId="0" xfId="0" applyFont="1" applyBorder="0" applyAlignment="0">
      <x:alignment horizontal="general" vertical="bottom" wrapText="0"/>
    </x:xf>
    <x:xf numFmtId="164" fontId="12" fillId="3" borderId="0" xfId="0" applyFont="1" applyBorder="0" applyAlignment="0">
      <x:alignment horizontal="general" vertical="bottom" wrapText="0"/>
    </x:xf>
    <x:xf numFmtId="164" fontId="13" fillId="4" borderId="0" xfId="0" applyFont="1" applyBorder="1" applyAlignment="0">
      <x:alignment horizontal="general" vertical="bottom" wrapText="0"/>
    </x:xf>
    <x:xf numFmtId="164" fontId="8" fillId="3" borderId="0" xfId="0" applyFont="1" applyBorder="0" applyAlignment="1">
      <x:alignment horizontal="right" vertical="center" wrapText="0"/>
    </x:xf>
    <x:xf numFmtId="165" fontId="14" fillId="3" borderId="0" xfId="0" applyFont="1" applyBorder="0" applyAlignment="1">
      <x:alignment horizontal="right" vertical="center" wrapText="0"/>
    </x:xf>
    <x:xf numFmtId="165" fontId="8" fillId="3" borderId="0" xfId="0" applyFont="1" applyBorder="0" applyAlignment="1">
      <x:alignment horizontal="right" vertical="center" wrapText="0"/>
    </x:xf>
    <x:xf numFmtId="165" fontId="15" fillId="3" borderId="0" xfId="0" applyFont="1" applyBorder="0" applyAlignment="1">
      <x:alignment horizontal="right" vertical="center" wrapText="0"/>
    </x:xf>
    <x:xf numFmtId="165" fontId="16" fillId="3" borderId="0" xfId="0" applyFont="1" applyBorder="0" applyAlignment="1">
      <x:alignment horizontal="right" vertical="center" wrapText="0"/>
    </x:xf>
    <x:xf numFmtId="165" fontId="7" fillId="3" borderId="0" xfId="0" applyFont="1" applyBorder="0" applyAlignment="1">
      <x:alignment horizontal="right" vertical="center" wrapText="0"/>
    </x:xf>
    <x:xf numFmtId="165" fontId="17" fillId="3" borderId="0" xfId="0" applyFont="1" applyBorder="0" applyAlignment="1">
      <x:alignment horizontal="right" vertical="center" wrapText="0"/>
    </x:xf>
    <x:xf numFmtId="166" fontId="14" fillId="3" borderId="0" xfId="0" applyFont="1" applyBorder="0" applyAlignment="1">
      <x:alignment horizontal="right" vertical="center" wrapText="0"/>
    </x:xf>
    <x:xf numFmtId="164" fontId="15" fillId="3" borderId="0" xfId="0" applyFont="1" applyBorder="1" applyAlignment="1">
      <x:alignment horizontal="left" vertical="top" wrapText="1"/>
    </x:xf>
    <x:xf numFmtId="167" fontId="9" fillId="5" borderId="0" xfId="0" applyFont="1" applyBorder="0" applyAlignment="1">
      <x:alignment horizontal="right" vertical="center" wrapText="0"/>
    </x:xf>
    <x:xf numFmtId="164" fontId="20" fillId="3" borderId="0" xfId="0" applyFont="1" applyBorder="0" applyAlignment="1">
      <x:alignment horizontal="right" vertical="center" wrapText="0"/>
    </x:xf>
    <x:xf numFmtId="168" fontId="16" fillId="3" borderId="0" xfId="0" applyFont="1" applyBorder="0" applyAlignment="1">
      <x:alignment horizontal="right" vertical="center" wrapText="0"/>
    </x:xf>
    <x:xf numFmtId="168" fontId="8" fillId="3" borderId="0" xfId="0" applyFont="1" applyBorder="0" applyAlignment="1">
      <x:alignment horizontal="right" vertical="center" wrapText="0"/>
    </x:xf>
    <x:xf numFmtId="164" fontId="21" fillId="3" borderId="0" xfId="0" applyFont="1" applyBorder="0" applyAlignment="0">
      <x:alignment horizontal="general" vertical="bottom" wrapText="0"/>
    </x:xf>
    <x:xf numFmtId="166" fontId="16" fillId="3" borderId="0" xfId="0" applyFont="1" applyBorder="0" applyAlignment="1">
      <x:alignment horizontal="right" vertical="center" wrapText="0"/>
    </x:xf>
    <x:xf numFmtId="166" fontId="8" fillId="3" borderId="0" xfId="0" applyFont="1" applyBorder="0" applyAlignment="1">
      <x:alignment horizontal="right" vertical="center" wrapText="0"/>
    </x:xf>
    <x:xf numFmtId="169" fontId="16" fillId="3" borderId="0" xfId="0" applyFont="1" applyBorder="0" applyAlignment="1">
      <x:alignment horizontal="right" vertical="center" wrapText="0"/>
    </x:xf>
    <x:xf numFmtId="170" fontId="16" fillId="3" borderId="0" xfId="0" applyFont="1" applyBorder="0" applyAlignment="1">
      <x:alignment horizontal="right" vertical="center" wrapText="0"/>
    </x:xf>
    <x:xf numFmtId="171" fontId="16" fillId="3" borderId="0" xfId="0" applyFont="1" applyBorder="0" applyAlignment="1">
      <x:alignment horizontal="right" vertical="center" wrapText="0"/>
    </x:xf>
    <x:xf numFmtId="167" fontId="16" fillId="3" borderId="0" xfId="0" applyFont="1" applyBorder="0" applyAlignment="1">
      <x:alignment horizontal="right" vertical="center" wrapText="0"/>
    </x:xf>
    <x:xf numFmtId="164" fontId="21" fillId="3" borderId="0" xfId="0" applyFont="1" applyBorder="0" applyAlignment="1">
      <x:alignment horizontal="right" vertical="center" wrapText="0"/>
    </x:xf>
    <x:xf numFmtId="166" fontId="10" fillId="3" borderId="0" xfId="0" applyFont="1" applyBorder="0" applyAlignment="1">
      <x:alignment horizontal="right" vertical="center" wrapText="0"/>
    </x:xf>
    <x:xf numFmtId="164" fontId="22" fillId="3" borderId="0" xfId="0" applyFont="1" applyBorder="0" applyAlignment="0">
      <x:alignment horizontal="general" vertical="bottom" wrapText="0"/>
    </x:xf>
    <x:xf numFmtId="168" fontId="23" fillId="3" borderId="0" xfId="0" applyFont="1" applyBorder="0" applyAlignment="1">
      <x:alignment horizontal="right" vertical="center" wrapText="0"/>
    </x:xf>
    <x:xf numFmtId="164" fontId="24" fillId="3" borderId="0" xfId="0" applyFont="1" applyBorder="0" applyAlignment="0">
      <x:alignment horizontal="general" vertical="bottom" wrapText="0"/>
    </x:xf>
    <x:xf numFmtId="166" fontId="24" fillId="3" borderId="0" xfId="0" applyFont="1" applyBorder="0" applyAlignment="1">
      <x:alignment horizontal="right" vertical="center" wrapText="0"/>
    </x:xf>
    <x:xf numFmtId="164" fontId="25" fillId="3" borderId="0" xfId="0" applyFont="1" applyBorder="0" applyAlignment="0">
      <x:alignment horizontal="general" vertical="bottom" wrapText="0"/>
    </x:xf>
    <x:xf numFmtId="166" fontId="25" fillId="3" borderId="0" xfId="0" applyFont="1" applyBorder="0" applyAlignment="1">
      <x:alignment horizontal="right" vertical="center" wrapText="0"/>
    </x:xf>
    <x:xf numFmtId="166" fontId="12" fillId="3" borderId="0" xfId="0" applyFont="1" applyBorder="0" applyAlignment="1">
      <x:alignment horizontal="right" vertical="center" wrapText="0"/>
    </x:xf>
    <x:xf numFmtId="165" fontId="25" fillId="3" borderId="0" xfId="0" applyFont="1" applyBorder="0" applyAlignment="1">
      <x:alignment horizontal="right" vertical="center" wrapText="0"/>
    </x:xf>
    <x:xf numFmtId="164" fontId="26" fillId="3" borderId="0" xfId="0" applyFont="1" applyBorder="0" applyAlignment="0">
      <x:alignment horizontal="general" vertical="bottom" wrapText="0"/>
    </x:xf>
    <x:xf numFmtId="165" fontId="10" fillId="3" borderId="0" xfId="0" applyFont="1" applyBorder="0" applyAlignment="1">
      <x:alignment horizontal="right" vertical="center" wrapText="0"/>
    </x:xf>
    <x:xf numFmtId="169" fontId="24" fillId="3" borderId="0" xfId="0" applyFont="1" applyBorder="0" applyAlignment="1">
      <x:alignment horizontal="right" vertical="center" wrapText="0"/>
    </x:xf>
    <x:xf numFmtId="164" fontId="23" fillId="3" borderId="0" xfId="0" applyFont="1" applyBorder="1" applyAlignment="0">
      <x:alignment horizontal="general" vertical="bottom" wrapText="0"/>
    </x:xf>
    <x:xf numFmtId="164" fontId="15" fillId="3" borderId="0" xfId="0" applyFont="1" applyBorder="1" applyAlignment="0">
      <x:alignment horizontal="general" vertical="bottom" wrapText="0"/>
    </x:xf>
    <x:xf numFmtId="164" fontId="28" fillId="3" borderId="0" xfId="0" applyFont="1" applyBorder="0" applyAlignment="0">
      <x:alignment horizontal="general" vertical="bottom" wrapText="0"/>
    </x:xf>
    <x:xf numFmtId="168" fontId="28" fillId="3" borderId="0" xfId="0" applyFont="1" applyBorder="0" applyAlignment="1">
      <x:alignment horizontal="right" vertical="center" wrapText="0"/>
    </x:xf>
    <x:xf numFmtId="166" fontId="11" fillId="3" borderId="0" xfId="0" applyFont="1" applyBorder="0" applyAlignment="1">
      <x:alignment horizontal="right" vertical="center" wrapText="0"/>
    </x:xf>
    <x:xf numFmtId="164" fontId="8" fillId="3" borderId="0" xfId="0" applyFont="1" applyBorder="0" applyAlignment="1">
      <x:alignment horizontal="left" vertical="center" wrapText="0"/>
    </x:xf>
    <x:xf numFmtId="171" fontId="7" fillId="3" borderId="0" xfId="0" applyFont="1" applyBorder="0" applyAlignment="1">
      <x:alignment horizontal="right" vertical="center" wrapText="0"/>
    </x:xf>
    <x:xf numFmtId="171" fontId="8" fillId="3" borderId="0" xfId="0" applyFont="1" applyBorder="0" applyAlignment="1">
      <x:alignment horizontal="right" vertical="center" wrapText="0"/>
    </x:xf>
    <x:xf numFmtId="164" fontId="20" fillId="3" borderId="0" xfId="0" applyFont="1" applyBorder="0" applyAlignment="0">
      <x:alignment horizontal="general" vertical="bottom" wrapText="0"/>
    </x:xf>
    <x:xf numFmtId="171" fontId="20" fillId="3" borderId="0" xfId="0" applyFont="1" applyBorder="0" applyAlignment="1">
      <x:alignment horizontal="right" vertical="center" wrapText="0"/>
    </x:xf>
    <x:xf numFmtId="165" fontId="10" fillId="6" borderId="0" xfId="0" applyFont="1" applyBorder="0" applyAlignment="1">
      <x:alignment horizontal="right" vertical="center" wrapText="0"/>
    </x:xf>
    <x:xf numFmtId="168" fontId="14" fillId="3" borderId="0" xfId="0" applyFont="1" applyBorder="0" applyAlignment="1">
      <x:alignment horizontal="right" vertical="center" wrapText="0"/>
    </x:xf>
    <x:xf numFmtId="170" fontId="14" fillId="3" borderId="0" xfId="0" applyFont="1" applyBorder="0" applyAlignment="1">
      <x:alignment horizontal="right" vertical="center" wrapText="0"/>
    </x:xf>
    <x:xf numFmtId="168" fontId="10" fillId="3" borderId="0" xfId="0" applyFont="1" applyBorder="0" applyAlignment="1">
      <x:alignment horizontal="right" vertical="center" wrapText="0"/>
    </x:xf>
    <x:xf numFmtId="168" fontId="24" fillId="3" borderId="0" xfId="0" applyFont="1" applyBorder="0" applyAlignment="1">
      <x:alignment horizontal="right" vertical="center" wrapText="0"/>
    </x:xf>
    <x:xf numFmtId="168" fontId="10" fillId="6" borderId="0" xfId="0" applyFont="1" applyBorder="0" applyAlignment="1">
      <x:alignment horizontal="right" vertical="center" wrapText="0"/>
    </x:xf>
    <x:xf numFmtId="170" fontId="7" fillId="3" borderId="0" xfId="0" applyFont="1" applyBorder="0" applyAlignment="1">
      <x:alignment horizontal="right" vertical="center" wrapText="0"/>
    </x:xf>
    <x:xf numFmtId="172" fontId="7" fillId="3" borderId="0" xfId="0" applyFont="1" applyBorder="0" applyAlignment="1">
      <x:alignment horizontal="right" vertical="center" wrapText="0"/>
    </x:xf>
    <x:xf numFmtId="164" fontId="11" fillId="3" borderId="0" xfId="0" applyFont="1" applyBorder="0" applyAlignment="1">
      <x:alignment horizontal="right" vertical="center" wrapText="0"/>
    </x:xf>
    <x:xf numFmtId="166" fontId="10" fillId="6" borderId="0" xfId="0" applyFont="1" applyBorder="0" applyAlignment="1">
      <x:alignment horizontal="right" vertical="center" wrapText="0"/>
    </x:xf>
    <x:xf numFmtId="171" fontId="24" fillId="3" borderId="0" xfId="0" applyFont="1" applyBorder="0" applyAlignment="1">
      <x:alignment horizontal="right" vertical="center" wrapText="0"/>
    </x:xf>
    <x:xf numFmtId="171" fontId="14" fillId="3" borderId="0" xfId="0" applyFont="1" applyBorder="0" applyAlignment="1">
      <x:alignment horizontal="right" vertical="center" wrapText="0"/>
    </x:xf>
    <x:xf numFmtId="164" fontId="22" fillId="3" borderId="0" xfId="0" applyFont="1" applyBorder="0" applyAlignment="1">
      <x:alignment horizontal="right" vertical="center" wrapText="0"/>
    </x:xf>
    <x:xf numFmtId="164" fontId="25" fillId="3" borderId="0" xfId="0" applyFont="1" applyBorder="1" applyAlignment="1">
      <x:alignment horizontal="left" vertical="top" wrapText="1"/>
    </x:xf>
    <x:xf numFmtId="165" fontId="24" fillId="3" borderId="0" xfId="0" applyFont="1" applyBorder="0" applyAlignment="1">
      <x:alignment horizontal="right" vertical="center" wrapText="0"/>
    </x:xf>
    <x:xf numFmtId="166" fontId="29" fillId="3" borderId="0" xfId="0" applyFont="1" applyBorder="0" applyAlignment="1">
      <x:alignment horizontal="right" vertical="center" wrapText="0"/>
    </x:xf>
    <x:xf numFmtId="171" fontId="29" fillId="3" borderId="0" xfId="0" applyFont="1" applyBorder="0" applyAlignment="1">
      <x:alignment horizontal="right" vertical="center" wrapText="0"/>
    </x:xf>
    <x:xf numFmtId="166" fontId="7" fillId="3" borderId="0" xfId="0" applyFont="1" applyBorder="0" applyAlignment="1">
      <x:alignment horizontal="right" vertical="center" wrapText="0"/>
    </x:xf>
    <x:xf numFmtId="173" fontId="29" fillId="3" borderId="0" xfId="0" applyFont="1" applyBorder="0" applyAlignment="1">
      <x:alignment horizontal="right" vertical="center" wrapText="0"/>
    </x:xf>
    <x:xf numFmtId="168" fontId="29" fillId="6" borderId="0" xfId="0" applyFont="1" applyBorder="0" applyAlignment="1">
      <x:alignment horizontal="right" vertical="center" wrapText="0"/>
    </x:xf>
    <x:xf numFmtId="165" fontId="29" fillId="6" borderId="0" xfId="0" applyFont="1" applyBorder="0" applyAlignment="1">
      <x:alignment horizontal="right" vertical="center" wrapText="0"/>
    </x:xf>
    <x:xf numFmtId="168" fontId="9" fillId="3" borderId="0" xfId="0" applyFont="1" applyBorder="0" applyAlignment="1">
      <x:alignment horizontal="right" vertical="center" wrapText="0"/>
    </x:xf>
    <x:xf numFmtId="171" fontId="9" fillId="3" borderId="0" xfId="0" applyFont="1" applyBorder="0" applyAlignment="1">
      <x:alignment horizontal="right" vertical="center" wrapText="0"/>
    </x:xf>
    <x:xf numFmtId="164" fontId="30" fillId="3" borderId="0" xfId="0" applyFont="1" applyBorder="0" applyAlignment="0">
      <x:alignment horizontal="general" vertical="bottom" wrapText="0"/>
    </x:xf>
    <x:xf numFmtId="164" fontId="15" fillId="3" borderId="0" xfId="0" applyFont="1" applyBorder="0" applyAlignment="0">
      <x:alignment horizontal="general" vertical="bottom" wrapText="0"/>
    </x:xf>
    <x:xf numFmtId="164" fontId="21" fillId="3" borderId="0" xfId="0" applyFont="1" applyBorder="0" applyAlignment="1">
      <x:alignment horizontal="left" vertical="top" wrapText="1"/>
    </x:xf>
    <x:xf numFmtId="164" fontId="31" fillId="3" borderId="0" xfId="0" applyFont="1" applyBorder="0" applyAlignment="0">
      <x:alignment horizontal="general" vertical="bottom" wrapText="0"/>
    </x:xf>
    <x:xf numFmtId="164" fontId="26" fillId="3" borderId="0" xfId="0" applyFont="1" applyBorder="1" applyAlignment="0">
      <x:alignment horizontal="general" vertical="bottom" wrapText="0"/>
    </x:xf>
    <x:xf numFmtId="168" fontId="7" fillId="3" borderId="0" xfId="0" applyFont="1" applyBorder="0" applyAlignment="1">
      <x:alignment horizontal="right" vertical="center" wrapText="0"/>
    </x:xf>
    <x:xf numFmtId="169" fontId="7" fillId="3" borderId="0" xfId="0" applyFont="1" applyBorder="0" applyAlignment="1">
      <x:alignment horizontal="right" vertical="center" wrapText="0"/>
    </x:xf>
    <x:xf numFmtId="164" fontId="32" fillId="3" borderId="0" xfId="0" applyFont="1" applyBorder="0" applyAlignment="1">
      <x:alignment horizontal="right" vertical="center" wrapText="0"/>
    </x:xf>
    <x:xf numFmtId="164" fontId="23" fillId="3" borderId="0" xfId="0" applyFont="1" applyBorder="0" applyAlignment="0">
      <x:alignment horizontal="general" vertical="bottom" wrapText="0"/>
    </x:xf>
    <x:xf numFmtId="164" fontId="0" fillId="7" borderId="0" xfId="0" applyNumberFormat="1" applyFont="1" applyFill="1" applyBorder="1" applyAlignment="1">
      <x:alignment horizontal="general" vertical="bottom" wrapText="0"/>
    </x:xf>
    <x:xf numFmtId="164" fontId="7" fillId="7" borderId="0" xfId="0" applyNumberFormat="1" applyFont="1" applyFill="1" applyBorder="1" applyAlignment="1">
      <x:alignment horizontal="general" vertical="bottom" wrapText="0"/>
    </x:xf>
    <x:xf numFmtId="164" fontId="7" fillId="8" borderId="0" xfId="0" applyNumberFormat="1" applyFont="1" applyFill="1" applyBorder="1" applyAlignment="1">
      <x:alignment horizontal="general" vertical="bottom" wrapText="0"/>
    </x:xf>
    <x:xf numFmtId="164" fontId="4" fillId="8" borderId="0" xfId="0" applyNumberFormat="1" applyFont="1" applyFill="1" applyBorder="1" applyAlignment="1">
      <x:alignment horizontal="general" vertical="bottom" wrapText="0"/>
    </x:xf>
    <x:xf numFmtId="164" fontId="33" fillId="7" borderId="0" xfId="0" applyNumberFormat="1" applyFont="1" applyFill="1" applyBorder="1" applyAlignment="1">
      <x:alignment horizontal="general" vertical="bottom" wrapText="0"/>
    </x:xf>
    <x:xf numFmtId="164" fontId="33" fillId="7" borderId="0" xfId="0" applyNumberFormat="1" applyFont="1" applyFill="1" applyBorder="1" applyAlignment="1">
      <x:alignment horizontal="general" vertical="bottom" wrapText="1"/>
    </x:xf>
    <x:xf numFmtId="200" fontId="7" fillId="7" borderId="0" xfId="0" applyNumberFormat="1" applyFont="1" applyFill="1" applyBorder="1" applyAlignment="1">
      <x:alignment horizontal="general" vertical="bottom" wrapText="0"/>
    </x:xf>
    <x:xf numFmtId="164" fontId="7" fillId="7" borderId="0" xfId="0" applyNumberFormat="1" applyFont="1" applyFill="1" applyBorder="1" applyAlignment="1">
      <x:alignment horizontal="general" vertical="bottom" wrapText="1"/>
    </x:xf>
    <x:xf numFmtId="201" fontId="7" fillId="7" borderId="0" xfId="0" applyNumberFormat="1" applyFont="1" applyFill="1" applyBorder="1" applyAlignment="1">
      <x:alignment horizontal="general" vertical="bottom" wrapText="0"/>
    </x:xf>
    <x:xf numFmtId="201" fontId="16" fillId="7" borderId="0" xfId="0" applyNumberFormat="1" applyFont="1" applyFill="1" applyBorder="1" applyAlignment="1">
      <x:alignment horizontal="general" vertical="bottom" wrapText="0"/>
    </x:xf>
    <x:xf numFmtId="201" fontId="16" fillId="9" borderId="0" xfId="0" applyNumberFormat="1" applyFont="1" applyFill="1" applyBorder="1" applyAlignment="1">
      <x:alignment horizontal="general" vertical="bottom" wrapText="0"/>
    </x:xf>
    <x:xf numFmtId="202" fontId="7" fillId="7" borderId="0" xfId="0" applyNumberFormat="1" applyFont="1" applyFill="1" applyBorder="1" applyAlignment="1">
      <x:alignment horizontal="general" vertical="bottom" wrapText="0"/>
    </x:xf>
    <x:xf numFmtId="202" fontId="16" fillId="7" borderId="0" xfId="0" applyNumberFormat="1" applyFont="1" applyFill="1" applyBorder="1" applyAlignment="1">
      <x:alignment horizontal="general" vertical="bottom" wrapText="0"/>
    </x:xf>
    <x:xf numFmtId="202" fontId="16" fillId="9" borderId="0" xfId="0" applyNumberFormat="1" applyFont="1" applyFill="1" applyBorder="1" applyAlignment="1">
      <x:alignment horizontal="general" vertical="bottom" wrapText="0"/>
    </x:xf>
    <x:xf numFmtId="164" fontId="7" fillId="10" borderId="0" xfId="0" applyNumberFormat="1" applyFont="1" applyFill="1" applyBorder="1" applyAlignment="1">
      <x:alignment horizontal="general" vertical="bottom" wrapText="0"/>
    </x:xf>
    <x:xf numFmtId="164" fontId="8" fillId="10" borderId="0" xfId="0" applyNumberFormat="1" applyFont="1" applyFill="1" applyBorder="1" applyAlignment="1">
      <x:alignment horizontal="general" vertical="bottom" wrapText="0"/>
    </x:xf>
    <x:xf numFmtId="164" fontId="8" fillId="10" borderId="0" xfId="0" applyNumberFormat="1" applyFont="1" applyFill="1" applyBorder="1" applyAlignment="1">
      <x:alignment horizontal="left" vertical="bottom" wrapText="0"/>
    </x:xf>
    <x:xf numFmtId="164" fontId="7" fillId="7" borderId="0" xfId="0" applyNumberFormat="1" applyFont="1" applyFill="1" applyBorder="1" applyAlignment="1">
      <x:alignment horizontal="general" vertical="top" wrapText="1"/>
    </x:xf>
    <x:xf numFmtId="164" fontId="4" fillId="7" borderId="0" xfId="0" applyNumberFormat="1" applyFont="1" applyFill="1" applyBorder="1" applyAlignment="1">
      <x:alignment horizontal="left" vertical="center" wrapText="0"/>
    </x:xf>
    <x:xf numFmtId="164" fontId="5" fillId="7" borderId="0" xfId="0" applyNumberFormat="1" applyFont="1" applyFill="1" applyBorder="1" applyAlignment="1">
      <x:alignment horizontal="general" vertical="bottom" wrapText="0"/>
    </x:xf>
    <x:xf numFmtId="164" fontId="13" fillId="7" borderId="0" xfId="0" applyNumberFormat="1" applyFont="1" applyFill="1" applyBorder="1" applyAlignment="1">
      <x:alignment horizontal="general" vertical="bottom" wrapText="0"/>
    </x:xf>
    <x:xf numFmtId="164" fontId="8" fillId="7" borderId="0" xfId="0" applyNumberFormat="1" applyFont="1" applyFill="1" applyBorder="1" applyAlignment="1">
      <x:alignment horizontal="general" vertical="bottom" wrapText="0"/>
    </x:xf>
    <x:xf numFmtId="167" fontId="9" fillId="7" borderId="0" xfId="0" applyNumberFormat="1" applyFont="1" applyFill="1" applyBorder="1" applyAlignment="1">
      <x:alignment horizontal="right" vertical="center" wrapText="0"/>
    </x:xf>
    <x:xf numFmtId="164" fontId="20" fillId="7" borderId="0" xfId="0" applyNumberFormat="1" applyFont="1" applyFill="1" applyBorder="1" applyAlignment="1">
      <x:alignment horizontal="right" vertical="center" wrapText="0"/>
    </x:xf>
    <x:xf numFmtId="164" fontId="8" fillId="7" borderId="0" xfId="0" applyNumberFormat="1" applyFont="1" applyFill="1" applyBorder="1" applyAlignment="1">
      <x:alignment horizontal="right" vertical="center" wrapText="0"/>
    </x:xf>
    <x:xf numFmtId="168" fontId="16" fillId="7" borderId="0" xfId="0" applyNumberFormat="1" applyFont="1" applyFill="1" applyBorder="1" applyAlignment="1">
      <x:alignment horizontal="right" vertical="center" wrapText="0"/>
    </x:xf>
    <x:xf numFmtId="168" fontId="8" fillId="7" borderId="0" xfId="0" applyNumberFormat="1" applyFont="1" applyFill="1" applyBorder="1" applyAlignment="1">
      <x:alignment horizontal="right" vertical="center" wrapText="0"/>
    </x:xf>
    <x:xf numFmtId="164" fontId="21" fillId="7" borderId="0" xfId="0" applyNumberFormat="1" applyFont="1" applyFill="1" applyBorder="1" applyAlignment="1">
      <x:alignment horizontal="general" vertical="bottom" wrapText="0"/>
    </x:xf>
    <x:xf numFmtId="166" fontId="16" fillId="7" borderId="0" xfId="0" applyNumberFormat="1" applyFont="1" applyFill="1" applyBorder="1" applyAlignment="1">
      <x:alignment horizontal="right" vertical="center" wrapText="0"/>
    </x:xf>
    <x:xf numFmtId="166" fontId="8" fillId="7" borderId="0" xfId="0" applyNumberFormat="1" applyFont="1" applyFill="1" applyBorder="1" applyAlignment="1">
      <x:alignment horizontal="right" vertical="center" wrapText="0"/>
    </x:xf>
    <x:xf numFmtId="169" fontId="16" fillId="7" borderId="0" xfId="0" applyNumberFormat="1" applyFont="1" applyFill="1" applyBorder="1" applyAlignment="1">
      <x:alignment horizontal="right" vertical="center" wrapText="0"/>
    </x:xf>
    <x:xf numFmtId="170" fontId="16" fillId="7" borderId="0" xfId="0" applyNumberFormat="1" applyFont="1" applyFill="1" applyBorder="1" applyAlignment="1">
      <x:alignment horizontal="right" vertical="center" wrapText="0"/>
    </x:xf>
    <x:xf numFmtId="171" fontId="16" fillId="7" borderId="0" xfId="0" applyNumberFormat="1" applyFont="1" applyFill="1" applyBorder="1" applyAlignment="1">
      <x:alignment horizontal="right" vertical="center" wrapText="0"/>
    </x:xf>
    <x:xf numFmtId="167" fontId="16" fillId="7" borderId="0" xfId="0" applyNumberFormat="1" applyFont="1" applyFill="1" applyBorder="1" applyAlignment="1">
      <x:alignment horizontal="right" vertical="center" wrapText="0"/>
    </x:xf>
    <x:xf numFmtId="164" fontId="8" fillId="7" borderId="0" xfId="0" applyNumberFormat="1" applyFont="1" applyFill="1" applyBorder="1" applyAlignment="1">
      <x:alignment horizontal="left" vertical="center" wrapText="0"/>
    </x:xf>
    <x:xf numFmtId="164" fontId="22" fillId="7" borderId="0" xfId="0" applyNumberFormat="1" applyFont="1" applyFill="1" applyBorder="1" applyAlignment="1">
      <x:alignment horizontal="general" vertical="bottom" wrapText="0"/>
    </x:xf>
    <x:xf numFmtId="167" fontId="8" fillId="7" borderId="0" xfId="0" applyNumberFormat="1" applyFont="1" applyFill="1" applyBorder="1" applyAlignment="1">
      <x:alignment horizontal="right" vertical="center" wrapText="0"/>
    </x:xf>
    <x:xf numFmtId="168" fontId="7" fillId="7" borderId="0" xfId="0" applyNumberFormat="1" applyFont="1" applyFill="1" applyBorder="1" applyAlignment="1">
      <x:alignment horizontal="right" vertical="center" wrapText="0"/>
    </x:xf>
    <x:xf numFmtId="166" fontId="7" fillId="7" borderId="0" xfId="0" applyNumberFormat="1" applyFont="1" applyFill="1" applyBorder="1" applyAlignment="1">
      <x:alignment horizontal="right" vertical="center" wrapText="0"/>
    </x:xf>
    <x:xf numFmtId="169" fontId="7" fillId="7" borderId="0" xfId="0" applyNumberFormat="1" applyFont="1" applyFill="1" applyBorder="1" applyAlignment="1">
      <x:alignment horizontal="right" vertical="center" wrapText="0"/>
    </x:xf>
    <x:xf numFmtId="170" fontId="7" fillId="7" borderId="0" xfId="0" applyNumberFormat="1" applyFont="1" applyFill="1" applyBorder="1" applyAlignment="1">
      <x:alignment horizontal="right" vertical="center" wrapText="0"/>
    </x:xf>
    <x:xf numFmtId="171" fontId="7" fillId="7" borderId="0" xfId="0" applyNumberFormat="1" applyFont="1" applyFill="1" applyBorder="1" applyAlignment="1">
      <x:alignment horizontal="right" vertical="center" wrapText="0"/>
    </x:xf>
    <x:xf numFmtId="167" fontId="7" fillId="7" borderId="0" xfId="0" applyNumberFormat="1" applyFont="1" applyFill="1" applyBorder="1" applyAlignment="1">
      <x:alignment horizontal="right" vertical="center" wrapText="0"/>
    </x:xf>
    <x:xf numFmtId="164" fontId="8" fillId="8" borderId="0" xfId="0" applyNumberFormat="1" applyFont="1" applyFill="1" applyBorder="1" applyAlignment="1">
      <x:alignment horizontal="left" vertical="center" wrapText="0"/>
    </x:xf>
    <x:xf numFmtId="164" fontId="4" fillId="8" borderId="0" xfId="0" applyNumberFormat="1" applyFont="1" applyFill="1" applyBorder="1" applyAlignment="1">
      <x:alignment horizontal="left" vertical="center" wrapText="0"/>
    </x:xf>
    <x:xf numFmtId="164" fontId="34" fillId="7" borderId="0" xfId="0" applyNumberFormat="1" applyFont="1" applyFill="1" applyBorder="1" applyAlignment="1">
      <x:alignment horizontal="general" vertical="bottom" wrapText="0"/>
    </x:xf>
    <x:xf numFmtId="164" fontId="34" fillId="7" borderId="0" xfId="0" applyNumberFormat="1" applyFont="1" applyFill="1" applyBorder="1" applyAlignment="1">
      <x:alignment horizontal="general" vertical="bottom" wrapText="1"/>
    </x:xf>
    <x:xf numFmtId="167" fontId="9" fillId="9" borderId="0" xfId="0" applyNumberFormat="1" applyFont="1" applyFill="1" applyBorder="1" applyAlignment="1">
      <x:alignment horizontal="right" vertical="center" wrapText="0"/>
    </x:xf>
    <x:xf numFmtId="202" fontId="7" fillId="7" borderId="0" xfId="0" applyNumberFormat="1" applyFont="1" applyFill="1" applyBorder="1" applyAlignment="1">
      <x:alignment horizontal="right" vertical="center" wrapText="0"/>
    </x:xf>
    <x:xf numFmtId="202" fontId="16" fillId="7" borderId="0" xfId="0" applyNumberFormat="1" applyFont="1" applyFill="1" applyBorder="1" applyAlignment="1">
      <x:alignment horizontal="right" vertical="center" wrapText="0"/>
    </x:xf>
    <x:xf numFmtId="202" fontId="16" fillId="9" borderId="0" xfId="0" applyNumberFormat="1" applyFont="1" applyFill="1" applyBorder="1" applyAlignment="1">
      <x:alignment horizontal="right" vertical="center" wrapText="0"/>
    </x:xf>
    <x:xf numFmtId="202" fontId="8" fillId="7" borderId="0" xfId="0" applyNumberFormat="1" applyFont="1" applyFill="1" applyBorder="1" applyAlignment="1">
      <x:alignment horizontal="right" vertical="center" wrapText="0"/>
    </x:xf>
    <x:xf numFmtId="203" fontId="7" fillId="7" borderId="0" xfId="0" applyNumberFormat="1" applyFont="1" applyFill="1" applyBorder="1" applyAlignment="1">
      <x:alignment horizontal="right" vertical="center" wrapText="0"/>
    </x:xf>
    <x:xf numFmtId="203" fontId="16" fillId="7" borderId="0" xfId="0" applyNumberFormat="1" applyFont="1" applyFill="1" applyBorder="1" applyAlignment="1">
      <x:alignment horizontal="right" vertical="center" wrapText="0"/>
    </x:xf>
    <x:xf numFmtId="203" fontId="16" fillId="9" borderId="0" xfId="0" applyNumberFormat="1" applyFont="1" applyFill="1" applyBorder="1" applyAlignment="1">
      <x:alignment horizontal="right" vertical="center" wrapText="0"/>
    </x:xf>
    <x:xf numFmtId="203" fontId="8" fillId="7" borderId="0" xfId="0" applyNumberFormat="1" applyFont="1" applyFill="1" applyBorder="1" applyAlignment="1">
      <x:alignment horizontal="right" vertical="center" wrapText="0"/>
    </x:xf>
    <x:xf numFmtId="203" fontId="7" fillId="7" borderId="0" xfId="0" applyNumberFormat="1" applyFont="1" applyFill="1" applyBorder="1" applyAlignment="1">
      <x:alignment horizontal="general" vertical="bottom" wrapText="0"/>
    </x:xf>
    <x:xf numFmtId="203" fontId="16" fillId="7" borderId="0" xfId="0" applyNumberFormat="1" applyFont="1" applyFill="1" applyBorder="1" applyAlignment="1">
      <x:alignment horizontal="general" vertical="bottom" wrapText="0"/>
    </x:xf>
    <x:xf numFmtId="203" fontId="16" fillId="9" borderId="0" xfId="0" applyNumberFormat="1" applyFont="1" applyFill="1" applyBorder="1" applyAlignment="1">
      <x:alignment horizontal="general" vertical="bottom" wrapText="0"/>
    </x:xf>
    <x:xf numFmtId="203" fontId="8" fillId="7" borderId="0" xfId="0" applyNumberFormat="1" applyFont="1" applyFill="1" applyBorder="1" applyAlignment="1">
      <x:alignment horizontal="general" vertical="bottom" wrapText="0"/>
    </x:xf>
    <x:xf numFmtId="203" fontId="9" fillId="7" borderId="0" xfId="0" applyNumberFormat="1" applyFont="1" applyFill="1" applyBorder="1" applyAlignment="1">
      <x:alignment horizontal="general" vertical="bottom" wrapText="0"/>
    </x:xf>
    <x:xf numFmtId="203" fontId="9" fillId="9" borderId="0" xfId="0" applyNumberFormat="1" applyFont="1" applyFill="1" applyBorder="1" applyAlignment="1">
      <x:alignment horizontal="general" vertical="bottom" wrapText="0"/>
    </x:xf>
    <x:xf numFmtId="168" fontId="7" fillId="10" borderId="0" xfId="0" applyNumberFormat="1" applyFont="1" applyFill="1" applyBorder="1" applyAlignment="1">
      <x:alignment horizontal="right" vertical="center" wrapText="0"/>
    </x:xf>
    <x:xf numFmtId="164" fontId="22" fillId="10" borderId="0" xfId="0" applyNumberFormat="1" applyFont="1" applyFill="1" applyBorder="1" applyAlignment="1">
      <x:alignment horizontal="general" vertical="bottom" wrapText="0"/>
    </x:xf>
    <x:xf numFmtId="168" fontId="8" fillId="10" borderId="0" xfId="0" applyNumberFormat="1" applyFont="1" applyFill="1" applyBorder="1" applyAlignment="1">
      <x:alignment horizontal="right" vertical="center" wrapText="0"/>
    </x:xf>
    <x:xf numFmtId="164" fontId="35" fillId="10" borderId="0" xfId="0" applyNumberFormat="1" applyFont="1" applyFill="1" applyBorder="1" applyAlignment="1">
      <x:alignment horizontal="general" vertical="bottom" wrapText="0"/>
    </x:xf>
    <x:xf numFmtId="168" fontId="8" fillId="10" borderId="0" xfId="0" applyNumberFormat="1" applyFont="1" applyFill="1" applyBorder="1" applyAlignment="1">
      <x:alignment horizontal="left" vertical="center" wrapText="0"/>
    </x:xf>
    <x:xf numFmtId="164" fontId="35" fillId="10" borderId="0" xfId="0" applyNumberFormat="1" applyFont="1" applyFill="1" applyBorder="1" applyAlignment="1">
      <x:alignment horizontal="left" vertical="bottom" wrapText="0"/>
    </x:xf>
    <x:xf numFmtId="170" fontId="16" fillId="9" borderId="0" xfId="0" applyNumberFormat="1" applyFont="1" applyFill="1" applyBorder="1" applyAlignment="1">
      <x:alignment horizontal="right" vertical="center" wrapText="0"/>
    </x:xf>
    <x:xf numFmtId="204" fontId="7" fillId="7" borderId="0" xfId="0" applyNumberFormat="1" applyFont="1" applyFill="1" applyBorder="1" applyAlignment="1">
      <x:alignment horizontal="right" vertical="center" wrapText="0"/>
    </x:xf>
    <x:xf numFmtId="204" fontId="16" fillId="7" borderId="0" xfId="0" applyNumberFormat="1" applyFont="1" applyFill="1" applyBorder="1" applyAlignment="1">
      <x:alignment horizontal="right" vertical="center" wrapText="0"/>
    </x:xf>
    <x:xf numFmtId="204" fontId="16" fillId="9" borderId="0" xfId="0" applyNumberFormat="1" applyFont="1" applyFill="1" applyBorder="1" applyAlignment="1">
      <x:alignment horizontal="right" vertical="center" wrapText="0"/>
    </x:xf>
    <x:xf numFmtId="167" fontId="7" fillId="7" borderId="0" xfId="0" applyNumberFormat="1" applyFont="1" applyFill="1" applyBorder="1" applyAlignment="1">
      <x:alignment horizontal="general" vertical="bottom" wrapText="0"/>
    </x:xf>
    <x:xf numFmtId="167" fontId="16" fillId="7" borderId="0" xfId="0" applyNumberFormat="1" applyFont="1" applyFill="1" applyBorder="1" applyAlignment="1">
      <x:alignment horizontal="general" vertical="bottom" wrapText="0"/>
    </x:xf>
    <x:xf numFmtId="167" fontId="16" fillId="9" borderId="0" xfId="0" applyNumberFormat="1" applyFont="1" applyFill="1" applyBorder="1" applyAlignment="1">
      <x:alignment horizontal="general" vertical="bottom" wrapText="0"/>
    </x:xf>
    <x:xf numFmtId="205" fontId="7" fillId="7" borderId="0" xfId="0" applyNumberFormat="1" applyFont="1" applyFill="1" applyBorder="1" applyAlignment="1">
      <x:alignment horizontal="general" vertical="bottom" wrapText="0"/>
    </x:xf>
    <x:xf numFmtId="205" fontId="16" fillId="7" borderId="0" xfId="0" applyNumberFormat="1" applyFont="1" applyFill="1" applyBorder="1" applyAlignment="1">
      <x:alignment horizontal="general" vertical="bottom" wrapText="0"/>
    </x:xf>
    <x:xf numFmtId="205" fontId="16" fillId="9" borderId="0" xfId="0" applyNumberFormat="1" applyFont="1" applyFill="1" applyBorder="1" applyAlignment="1">
      <x:alignment horizontal="general" vertical="bottom" wrapText="0"/>
    </x:xf>
    <x:xf numFmtId="204" fontId="7" fillId="7" borderId="0" xfId="0" applyNumberFormat="1" applyFont="1" applyFill="1" applyBorder="1" applyAlignment="1">
      <x:alignment horizontal="general" vertical="bottom" wrapText="0"/>
    </x:xf>
    <x:xf numFmtId="204" fontId="16" fillId="7" borderId="0" xfId="0" applyNumberFormat="1" applyFont="1" applyFill="1" applyBorder="1" applyAlignment="1">
      <x:alignment horizontal="general" vertical="bottom" wrapText="0"/>
    </x:xf>
    <x:xf numFmtId="204" fontId="16" fillId="9" borderId="0" xfId="0" applyNumberFormat="1" applyFont="1" applyFill="1" applyBorder="1" applyAlignment="1">
      <x:alignment horizontal="general" vertical="bottom" wrapText="0"/>
    </x:xf>
    <x:xf numFmtId="164" fontId="21" fillId="7" borderId="0" xfId="0" applyNumberFormat="1" applyFont="1" applyFill="1" applyBorder="1" applyAlignment="1">
      <x:alignment horizontal="right" vertical="center" wrapText="0"/>
    </x:xf>
    <x:xf numFmtId="164" fontId="10" fillId="7" borderId="0" xfId="0" applyNumberFormat="1" applyFont="1" applyFill="1" applyBorder="1" applyAlignment="1">
      <x:alignment horizontal="general" vertical="bottom" wrapText="0"/>
    </x:xf>
    <x:xf numFmtId="166" fontId="10" fillId="7" borderId="0" xfId="0" applyNumberFormat="1" applyFont="1" applyFill="1" applyBorder="1" applyAlignment="1">
      <x:alignment horizontal="right" vertical="center" wrapText="0"/>
    </x:xf>
    <x:xf numFmtId="164" fontId="28" fillId="7" borderId="0" xfId="0" applyNumberFormat="1" applyFont="1" applyFill="1" applyBorder="1" applyAlignment="1">
      <x:alignment horizontal="general" vertical="bottom" wrapText="0"/>
    </x:xf>
    <x:xf numFmtId="168" fontId="28" fillId="7" borderId="0" xfId="0" applyNumberFormat="1" applyFont="1" applyFill="1" applyBorder="1" applyAlignment="1">
      <x:alignment horizontal="right" vertical="center" wrapText="0"/>
    </x:xf>
    <x:xf numFmtId="164" fontId="25" fillId="7" borderId="0" xfId="0" applyNumberFormat="1" applyFont="1" applyFill="1" applyBorder="1" applyAlignment="1">
      <x:alignment horizontal="general" vertical="bottom" wrapText="0"/>
    </x:xf>
    <x:xf numFmtId="166" fontId="25" fillId="7" borderId="0" xfId="0" applyNumberFormat="1" applyFont="1" applyFill="1" applyBorder="1" applyAlignment="1">
      <x:alignment horizontal="right" vertical="center" wrapText="0"/>
    </x:xf>
    <x:xf numFmtId="164" fontId="24" fillId="7" borderId="0" xfId="0" applyNumberFormat="1" applyFont="1" applyFill="1" applyBorder="1" applyAlignment="1">
      <x:alignment horizontal="general" vertical="bottom" wrapText="0"/>
    </x:xf>
    <x:xf numFmtId="166" fontId="24" fillId="7" borderId="0" xfId="0" applyNumberFormat="1" applyFont="1" applyFill="1" applyBorder="1" applyAlignment="1">
      <x:alignment horizontal="right" vertical="center" wrapText="0"/>
    </x:xf>
    <x:xf numFmtId="169" fontId="24" fillId="7" borderId="0" xfId="0" applyNumberFormat="1" applyFont="1" applyFill="1" applyBorder="1" applyAlignment="1">
      <x:alignment horizontal="right" vertical="center" wrapText="0"/>
    </x:xf>
    <x:xf numFmtId="165" fontId="10" fillId="7" borderId="0" xfId="0" applyNumberFormat="1" applyFont="1" applyFill="1" applyBorder="1" applyAlignment="1">
      <x:alignment horizontal="right" vertical="center" wrapText="0"/>
    </x:xf>
    <x:xf numFmtId="164" fontId="11" fillId="7" borderId="0" xfId="0" applyNumberFormat="1" applyFont="1" applyFill="1" applyBorder="1" applyAlignment="1">
      <x:alignment horizontal="general" vertical="bottom" wrapText="0"/>
    </x:xf>
    <x:xf numFmtId="166" fontId="11" fillId="7" borderId="0" xfId="0" applyNumberFormat="1" applyFont="1" applyFill="1" applyBorder="1" applyAlignment="1">
      <x:alignment horizontal="right" vertical="center" wrapText="0"/>
    </x:xf>
    <x:xf numFmtId="164" fontId="22" fillId="7" borderId="0" xfId="0" applyNumberFormat="1" applyFont="1" applyFill="1" applyBorder="1" applyAlignment="1">
      <x:alignment horizontal="right" vertical="center" wrapText="0"/>
    </x:xf>
    <x:xf numFmtId="168" fontId="22" fillId="7" borderId="0" xfId="0" applyNumberFormat="1" applyFont="1" applyFill="1" applyBorder="1" applyAlignment="1">
      <x:alignment horizontal="right" vertical="center" wrapText="0"/>
    </x:xf>
    <x:xf numFmtId="165" fontId="8" fillId="7" borderId="0" xfId="0" applyNumberFormat="1" applyFont="1" applyFill="1" applyBorder="1" applyAlignment="1">
      <x:alignment horizontal="right" vertical="center" wrapText="0"/>
    </x:xf>
    <x:xf numFmtId="166" fontId="7" fillId="10" borderId="0" xfId="0" applyNumberFormat="1" applyFont="1" applyFill="1" applyBorder="1" applyAlignment="1">
      <x:alignment horizontal="right" vertical="center" wrapText="0"/>
    </x:xf>
    <x:xf numFmtId="166" fontId="8" fillId="10" borderId="0" xfId="0" applyNumberFormat="1" applyFont="1" applyFill="1" applyBorder="1" applyAlignment="1">
      <x:alignment horizontal="right" vertical="center" wrapText="0"/>
    </x:xf>
    <x:xf numFmtId="166" fontId="8" fillId="10" borderId="0" xfId="0" applyNumberFormat="1" applyFont="1" applyFill="1" applyBorder="1" applyAlignment="1">
      <x:alignment horizontal="left" vertical="center" wrapText="0"/>
    </x:xf>
    <x:xf numFmtId="200" fontId="7" fillId="7" borderId="0" xfId="0" applyNumberFormat="1" applyFont="1" applyFill="1" applyBorder="1" applyAlignment="1">
      <x:alignment horizontal="right" vertical="center" wrapText="0"/>
    </x:xf>
    <x:xf numFmtId="172" fontId="7" fillId="7" borderId="0" xfId="0" applyNumberFormat="1" applyFont="1" applyFill="1" applyBorder="1" applyAlignment="1">
      <x:alignment horizontal="general" vertical="bottom" wrapText="0"/>
    </x:xf>
    <x:xf numFmtId="172" fontId="14" fillId="7" borderId="0" xfId="0" applyNumberFormat="1" applyFont="1" applyFill="1" applyBorder="1" applyAlignment="1">
      <x:alignment horizontal="general" vertical="bottom" wrapText="0"/>
    </x:xf>
    <x:xf numFmtId="202" fontId="11" fillId="7" borderId="0" xfId="0" applyNumberFormat="1" applyFont="1" applyFill="1" applyBorder="1" applyAlignment="1">
      <x:alignment horizontal="right" vertical="center" wrapText="0"/>
    </x:xf>
    <x:xf numFmtId="202" fontId="22" fillId="7" borderId="0" xfId="0" applyNumberFormat="1" applyFont="1" applyFill="1" applyBorder="1" applyAlignment="1">
      <x:alignment horizontal="right" vertical="center" wrapText="0"/>
    </x:xf>
    <x:xf numFmtId="202" fontId="36" fillId="7" borderId="0" xfId="0" applyNumberFormat="1" applyFont="1" applyFill="1" applyBorder="1" applyAlignment="1">
      <x:alignment horizontal="right" vertical="center" wrapText="0"/>
    </x:xf>
    <x:xf numFmtId="202" fontId="14" fillId="7" borderId="0" xfId="0" applyNumberFormat="1" applyFont="1" applyFill="1" applyBorder="1" applyAlignment="1">
      <x:alignment horizontal="right" vertical="center" wrapText="0"/>
    </x:xf>
    <x:xf numFmtId="201" fontId="8" fillId="7" borderId="0" xfId="0" applyNumberFormat="1" applyFont="1" applyFill="1" applyBorder="1" applyAlignment="1">
      <x:alignment horizontal="general" vertical="bottom" wrapText="0"/>
    </x:xf>
    <x:xf numFmtId="202" fontId="8" fillId="7" borderId="0" xfId="0" applyNumberFormat="1" applyFont="1" applyFill="1" applyBorder="1" applyAlignment="1">
      <x:alignment horizontal="general" vertical="bottom" wrapText="0"/>
    </x:xf>
    <x:xf numFmtId="202" fontId="11" fillId="7" borderId="0" xfId="0" applyNumberFormat="1" applyFont="1" applyFill="1" applyBorder="1" applyAlignment="1">
      <x:alignment horizontal="general" vertical="bottom" wrapText="0"/>
    </x:xf>
    <x:xf numFmtId="202" fontId="14" fillId="7" borderId="0" xfId="0" applyNumberFormat="1" applyFont="1" applyFill="1" applyBorder="1" applyAlignment="1">
      <x:alignment horizontal="general" vertical="bottom" wrapText="0"/>
    </x:xf>
    <x:xf numFmtId="168" fontId="14" fillId="7" borderId="0" xfId="0" applyNumberFormat="1" applyFont="1" applyFill="1" applyBorder="1" applyAlignment="1">
      <x:alignment horizontal="right" vertical="center" wrapText="0"/>
    </x:xf>
    <x:xf numFmtId="170" fontId="14" fillId="7" borderId="0" xfId="0" applyNumberFormat="1" applyFont="1" applyFill="1" applyBorder="1" applyAlignment="1">
      <x:alignment horizontal="right" vertical="center" wrapText="0"/>
    </x:xf>
    <x:xf numFmtId="168" fontId="10" fillId="7" borderId="0" xfId="0" applyNumberFormat="1" applyFont="1" applyFill="1" applyBorder="1" applyAlignment="1">
      <x:alignment horizontal="right" vertical="center" wrapText="0"/>
    </x:xf>
    <x:xf numFmtId="168" fontId="24" fillId="7" borderId="0" xfId="0" applyNumberFormat="1" applyFont="1" applyFill="1" applyBorder="1" applyAlignment="1">
      <x:alignment horizontal="right" vertical="center" wrapText="0"/>
    </x:xf>
    <x:xf numFmtId="166" fontId="14" fillId="7" borderId="0" xfId="0" applyNumberFormat="1" applyFont="1" applyFill="1" applyBorder="1" applyAlignment="1">
      <x:alignment horizontal="right" vertical="center" wrapText="0"/>
    </x:xf>
    <x:xf numFmtId="172" fontId="7" fillId="7" borderId="0" xfId="0" applyNumberFormat="1" applyFont="1" applyFill="1" applyBorder="1" applyAlignment="1">
      <x:alignment horizontal="right" vertical="center" wrapText="0"/>
    </x:xf>
    <x:xf numFmtId="164" fontId="20" fillId="7" borderId="0" xfId="0" applyNumberFormat="1" applyFont="1" applyFill="1" applyBorder="1" applyAlignment="1">
      <x:alignment horizontal="general" vertical="bottom" wrapText="0"/>
    </x:xf>
    <x:xf numFmtId="164" fontId="11" fillId="7" borderId="0" xfId="0" applyNumberFormat="1" applyFont="1" applyFill="1" applyBorder="1" applyAlignment="1">
      <x:alignment horizontal="right" vertical="center" wrapText="0"/>
    </x:xf>
    <x:xf numFmtId="171" fontId="24" fillId="7" borderId="0" xfId="0" applyNumberFormat="1" applyFont="1" applyFill="1" applyBorder="1" applyAlignment="1">
      <x:alignment horizontal="right" vertical="center" wrapText="0"/>
    </x:xf>
    <x:xf numFmtId="171" fontId="14" fillId="7" borderId="0" xfId="0" applyNumberFormat="1" applyFont="1" applyFill="1" applyBorder="1" applyAlignment="1">
      <x:alignment horizontal="right" vertical="center" wrapText="0"/>
    </x:xf>
    <x:xf numFmtId="165" fontId="16" fillId="7" borderId="0" xfId="0" applyNumberFormat="1" applyFont="1" applyFill="1" applyBorder="1" applyAlignment="1">
      <x:alignment horizontal="right" vertical="center" wrapText="0"/>
    </x:xf>
    <x:xf numFmtId="165" fontId="7" fillId="7" borderId="0" xfId="0" applyNumberFormat="1" applyFont="1" applyFill="1" applyBorder="1" applyAlignment="1">
      <x:alignment horizontal="right" vertical="center" wrapText="0"/>
    </x:xf>
    <x:xf numFmtId="203" fontId="14" fillId="7" borderId="0" xfId="0" applyNumberFormat="1" applyFont="1" applyFill="1" applyBorder="1" applyAlignment="1">
      <x:alignment horizontal="right" vertical="center" wrapText="0"/>
    </x:xf>
    <x:xf numFmtId="172" fontId="8" fillId="7" borderId="0" xfId="0" applyNumberFormat="1" applyFont="1" applyFill="1" applyBorder="1" applyAlignment="1">
      <x:alignment horizontal="right" vertical="center" wrapText="0"/>
    </x:xf>
    <x:xf numFmtId="172" fontId="11" fillId="7" borderId="0" xfId="0" applyNumberFormat="1" applyFont="1" applyFill="1" applyBorder="1" applyAlignment="1">
      <x:alignment horizontal="right" vertical="center" wrapText="0"/>
    </x:xf>
    <x:xf numFmtId="203" fontId="11" fillId="7" borderId="0" xfId="0" applyNumberFormat="1" applyFont="1" applyFill="1" applyBorder="1" applyAlignment="1">
      <x:alignment horizontal="general" vertical="bottom" wrapText="0"/>
    </x:xf>
    <x:xf numFmtId="164" fontId="14" fillId="7" borderId="0" xfId="0" applyNumberFormat="1" applyFont="1" applyFill="1" applyBorder="1" applyAlignment="1">
      <x:alignment horizontal="general" vertical="bottom" wrapText="0"/>
    </x:xf>
    <x:xf numFmtId="204" fontId="14" fillId="7" borderId="0" xfId="0" applyNumberFormat="1" applyFont="1" applyFill="1" applyBorder="1" applyAlignment="1">
      <x:alignment horizontal="general" vertical="bottom" wrapText="0"/>
    </x:xf>
    <x:xf numFmtId="201" fontId="8" fillId="7" borderId="0" xfId="0" applyNumberFormat="1" applyFont="1" applyFill="1" applyBorder="1" applyAlignment="1">
      <x:alignment horizontal="right" vertical="center" wrapText="0"/>
    </x:xf>
    <x:xf numFmtId="201" fontId="7" fillId="7" borderId="0" xfId="0" applyNumberFormat="1" applyFont="1" applyFill="1" applyBorder="1" applyAlignment="1">
      <x:alignment horizontal="right" vertical="center" wrapText="0"/>
    </x:xf>
    <x:xf numFmtId="201" fontId="14" fillId="7" borderId="0" xfId="0" applyNumberFormat="1" applyFont="1" applyFill="1" applyBorder="1" applyAlignment="1">
      <x:alignment horizontal="right" vertical="center" wrapText="0"/>
    </x:xf>
    <x:xf numFmtId="165" fontId="24" fillId="7" borderId="0" xfId="0" applyNumberFormat="1" applyFont="1" applyFill="1" applyBorder="1" applyAlignment="1">
      <x:alignment horizontal="right" vertical="center" wrapText="0"/>
    </x:xf>
    <x:xf numFmtId="166" fontId="29" fillId="7" borderId="0" xfId="0" applyNumberFormat="1" applyFont="1" applyFill="1" applyBorder="1" applyAlignment="1">
      <x:alignment horizontal="right" vertical="center" wrapText="0"/>
    </x:xf>
    <x:xf numFmtId="171" fontId="29" fillId="7" borderId="0" xfId="0" applyNumberFormat="1" applyFont="1" applyFill="1" applyBorder="1" applyAlignment="1">
      <x:alignment horizontal="right" vertical="center" wrapText="0"/>
    </x:xf>
    <x:xf numFmtId="173" fontId="29" fillId="7" borderId="0" xfId="0" applyNumberFormat="1" applyFont="1" applyFill="1" applyBorder="1" applyAlignment="1">
      <x:alignment horizontal="right" vertical="center" wrapText="0"/>
    </x:xf>
    <x:xf numFmtId="168" fontId="29" fillId="7" borderId="0" xfId="0" applyNumberFormat="1" applyFont="1" applyFill="1" applyBorder="1" applyAlignment="1">
      <x:alignment horizontal="right" vertical="center" wrapText="0"/>
    </x:xf>
    <x:xf numFmtId="165" fontId="29" fillId="7" borderId="0" xfId="0" applyNumberFormat="1" applyFont="1" applyFill="1" applyBorder="1" applyAlignment="1">
      <x:alignment horizontal="right" vertical="center" wrapText="0"/>
    </x:xf>
    <x:xf numFmtId="164" fontId="26" fillId="7" borderId="0" xfId="0" applyNumberFormat="1" applyFont="1" applyFill="1" applyBorder="1" applyAlignment="1">
      <x:alignment horizontal="general" vertical="bottom" wrapText="0"/>
    </x:xf>
    <x:xf numFmtId="171" fontId="8" fillId="7" borderId="0" xfId="0" applyNumberFormat="1" applyFont="1" applyFill="1" applyBorder="1" applyAlignment="1">
      <x:alignment horizontal="right" vertical="center" wrapText="0"/>
    </x:xf>
    <x:xf numFmtId="173" fontId="8" fillId="7" borderId="0" xfId="0" applyNumberFormat="1" applyFont="1" applyFill="1" applyBorder="1" applyAlignment="1">
      <x:alignment horizontal="right" vertical="center" wrapText="0"/>
    </x:xf>
    <x:xf numFmtId="204" fontId="8" fillId="7" borderId="0" xfId="0" applyNumberFormat="1" applyFont="1" applyFill="1" applyBorder="1" applyAlignment="1">
      <x:alignment horizontal="right" vertical="center" wrapText="0"/>
    </x:xf>
    <x:xf numFmtId="204" fontId="14" fillId="7" borderId="0" xfId="0" applyNumberFormat="1" applyFont="1" applyFill="1" applyBorder="1" applyAlignment="1">
      <x:alignment horizontal="right" vertical="center" wrapText="0"/>
    </x:xf>
    <x:xf numFmtId="202" fontId="22" fillId="7" borderId="0" xfId="0" applyNumberFormat="1" applyFont="1" applyFill="1" applyBorder="1" applyAlignment="1">
      <x:alignment horizontal="general" vertical="bottom" wrapText="0"/>
    </x:xf>
    <x:xf numFmtId="172" fontId="14" fillId="7" borderId="0" xfId="0" applyNumberFormat="1" applyFont="1" applyFill="1" applyBorder="1" applyAlignment="1">
      <x:alignment horizontal="right" vertical="center" wrapText="0"/>
    </x:xf>
    <x:xf numFmtId="203" fontId="14" fillId="7" borderId="0" xfId="0" applyNumberFormat="1" applyFont="1" applyFill="1" applyBorder="1" applyAlignment="1">
      <x:alignment horizontal="general" vertical="bottom" wrapText="0"/>
    </x:xf>
    <x:xf numFmtId="201" fontId="14" fillId="7" borderId="0" xfId="0" applyNumberFormat="1" applyFont="1" applyFill="1" applyBorder="1" applyAlignment="1">
      <x:alignment horizontal="general" vertical="bottom" wrapText="0"/>
    </x:xf>
    <x:xf numFmtId="171" fontId="20" fillId="7" borderId="0" xfId="0" applyNumberFormat="1" applyFont="1" applyFill="1" applyBorder="1" applyAlignment="1">
      <x:alignment horizontal="right" vertical="center" wrapText="0"/>
    </x:xf>
    <x:xf numFmtId="164" fontId="8" fillId="7" borderId="0" xfId="0" applyNumberFormat="1" applyFont="1" applyFill="1" applyBorder="1" applyAlignment="1">
      <x:alignment horizontal="general" vertical="bottom" wrapText="1"/>
    </x:xf>
    <x:xf numFmtId="171" fontId="8" fillId="7" borderId="0" xfId="0" applyNumberFormat="1" applyFont="1" applyFill="1" applyBorder="1" applyAlignment="1">
      <x:alignment horizontal="right" vertical="center" wrapText="1"/>
    </x:xf>
    <x:xf numFmtId="166" fontId="7" fillId="7" borderId="0" xfId="0" applyNumberFormat="1" applyFont="1" applyFill="1" applyBorder="1" applyAlignment="1">
      <x:alignment horizontal="right" vertical="center" wrapText="1"/>
    </x:xf>
    <x:xf numFmtId="164" fontId="8" fillId="7" borderId="0" xfId="0" applyNumberFormat="1" applyFont="1" applyFill="1" applyBorder="1" applyAlignment="1">
      <x:alignment horizontal="general" vertical="top" wrapText="1"/>
    </x:xf>
    <x:xf numFmtId="171" fontId="8" fillId="7" borderId="0" xfId="0" applyNumberFormat="1" applyFont="1" applyFill="1" applyBorder="1" applyAlignment="1">
      <x:alignment horizontal="right" vertical="top" wrapText="1"/>
    </x:xf>
    <x:xf numFmtId="166" fontId="7" fillId="7" borderId="0" xfId="0" applyNumberFormat="1" applyFont="1" applyFill="1" applyBorder="1" applyAlignment="1">
      <x:alignment horizontal="right" vertical="top" wrapText="1"/>
    </x:xf>
    <x:xf numFmtId="171" fontId="7" fillId="10" borderId="0" xfId="0" applyNumberFormat="1" applyFont="1" applyFill="1" applyBorder="1" applyAlignment="1">
      <x:alignment horizontal="right" vertical="center" wrapText="0"/>
    </x:xf>
    <x:xf numFmtId="171" fontId="8" fillId="10" borderId="0" xfId="0" applyNumberFormat="1" applyFont="1" applyFill="1" applyBorder="1" applyAlignment="1">
      <x:alignment horizontal="right" vertical="center" wrapText="0"/>
    </x:xf>
    <x:xf numFmtId="171" fontId="8" fillId="10" borderId="0" xfId="0" applyNumberFormat="1" applyFont="1" applyFill="1" applyBorder="1" applyAlignment="1">
      <x:alignment horizontal="left" vertical="center" wrapText="0"/>
    </x:xf>
    <x:xf numFmtId="168" fontId="9" fillId="7" borderId="0" xfId="0" applyNumberFormat="1" applyFont="1" applyFill="1" applyBorder="1" applyAlignment="1">
      <x:alignment horizontal="right" vertical="center" wrapText="0"/>
    </x:xf>
    <x:xf numFmtId="171" fontId="9" fillId="7" borderId="0" xfId="0" applyNumberFormat="1" applyFont="1" applyFill="1" applyBorder="1" applyAlignment="1">
      <x:alignment horizontal="right" vertical="center" wrapText="0"/>
    </x:xf>
    <x:xf numFmtId="164" fontId="30" fillId="7" borderId="0" xfId="0" applyNumberFormat="1" applyFont="1" applyFill="1" applyBorder="1" applyAlignment="1">
      <x:alignment horizontal="general" vertical="bottom" wrapText="0"/>
    </x:xf>
    <x:xf numFmtId="203" fontId="11" fillId="7" borderId="0" xfId="0" applyNumberFormat="1" applyFont="1" applyFill="1" applyBorder="1" applyAlignment="1">
      <x:alignment horizontal="right" vertical="center" wrapText="0"/>
    </x:xf>
    <x:xf numFmtId="164" fontId="8" fillId="10" borderId="0" xfId="0" applyNumberFormat="1" applyFont="1" applyFill="1" applyBorder="1" applyAlignment="1">
      <x:alignment horizontal="right" vertical="center" wrapText="0"/>
    </x:xf>
    <x:xf numFmtId="164" fontId="8" fillId="10" borderId="0" xfId="0" applyNumberFormat="1" applyFont="1" applyFill="1" applyBorder="1" applyAlignment="1">
      <x:alignment horizontal="left" vertical="center" wrapText="0"/>
    </x:xf>
    <x:xf numFmtId="164" fontId="7" fillId="7" borderId="0" xfId="0" applyNumberFormat="1" applyFont="1" applyFill="1" applyBorder="1" applyAlignment="1">
      <x:alignment horizontal="left" vertical="top" wrapText="1"/>
    </x:xf>
    <x:xf numFmtId="164" fontId="23" fillId="7" borderId="0" xfId="0" applyNumberFormat="1" applyFont="1" applyFill="1" applyBorder="1" applyAlignment="1">
      <x:alignment horizontal="general" vertical="bottom" wrapText="0"/>
    </x:xf>
    <x:xf numFmtId="164" fontId="15" fillId="7" borderId="0" xfId="0" applyNumberFormat="1" applyFont="1" applyFill="1" applyBorder="1" applyAlignment="1">
      <x:alignment horizontal="general" vertical="bottom" wrapText="0"/>
    </x:xf>
    <x:xf numFmtId="202" fontId="36" fillId="7" borderId="0" xfId="0" applyNumberFormat="1" applyFont="1" applyFill="1" applyBorder="1" applyAlignment="1">
      <x:alignment horizontal="general" vertical="bottom" wrapText="0"/>
    </x:xf>
    <x:xf numFmtId="202" fontId="7" fillId="7" borderId="0" xfId="0" applyNumberFormat="1" applyFont="1" applyFill="1" applyBorder="1" applyAlignment="1">
      <x:alignment horizontal="right" vertical="center" wrapText="1"/>
    </x:xf>
    <x:xf numFmtId="171" fontId="7" fillId="7" borderId="0" xfId="0" applyNumberFormat="1" applyFont="1" applyFill="1" applyBorder="1" applyAlignment="1">
      <x:alignment horizontal="right" vertical="center" wrapText="1"/>
    </x:xf>
    <x:xf numFmtId="171" fontId="7" fillId="7" borderId="0" xfId="0" applyNumberFormat="1" applyFont="1" applyFill="1" applyBorder="1" applyAlignment="1">
      <x:alignment horizontal="right" vertical="top" wrapText="1"/>
    </x:xf>
    <x:xf numFmtId="164" fontId="25" fillId="7" borderId="0" xfId="0" applyNumberFormat="1" applyFont="1" applyFill="1" applyBorder="1" applyAlignment="1">
      <x:alignment horizontal="left" vertical="top" wrapText="1"/>
    </x:xf>
    <x:xf numFmtId="164" fontId="21" fillId="7" borderId="0" xfId="0" applyNumberFormat="1" applyFont="1" applyFill="1" applyBorder="1" applyAlignment="1">
      <x:alignment horizontal="left" vertical="top" wrapText="1"/>
    </x:xf>
    <x:xf numFmtId="164" fontId="31" fillId="7" borderId="0" xfId="0" applyNumberFormat="1" applyFont="1" applyFill="1" applyBorder="1" applyAlignment="1">
      <x:alignment horizontal="general" vertical="bottom" wrapText="0"/>
    </x:xf>
    <x:xf numFmtId="164" fontId="22" fillId="7" borderId="0" xfId="0" applyNumberFormat="1" applyFont="1" applyFill="1" applyBorder="1" applyAlignment="1">
      <x:alignment horizontal="left" vertical="top" wrapText="1"/>
    </x:xf>
    <x:xf numFmtId="164" fontId="22" fillId="7" borderId="0" xfId="0" applyNumberFormat="1" applyFont="1" applyFill="1" applyBorder="1" applyAlignment="1">
      <x:alignment horizontal="general" vertical="bottom" wrapText="1"/>
    </x:xf>
    <x:xf numFmtId="164" fontId="22" fillId="7" borderId="0" xfId="0" applyNumberFormat="1" applyFont="1" applyFill="1" applyBorder="1" applyAlignment="1">
      <x:alignment horizontal="general" vertical="top" wrapText="1"/>
    </x:xf>
    <x:xf numFmtId="164" fontId="23" fillId="3" borderId="0" xfId="0" applyNumberFormat="1" applyFont="1" applyFill="1" applyBorder="1" applyAlignment="1">
      <x:alignment horizontal="general" vertical="bottom" wrapText="0"/>
    </x:xf>
    <x:xf numFmtId="202" fontId="10" fillId="3" borderId="0" xfId="0" applyNumberFormat="1" applyFont="1" applyFill="1" applyBorder="1" applyAlignment="1">
      <x:alignment horizontal="right" vertical="center" wrapText="0"/>
    </x:xf>
    <x:xf numFmtId="202" fontId="8" fillId="3" borderId="0" xfId="0" applyNumberFormat="1" applyFont="1" applyFill="1" applyBorder="1" applyAlignment="1">
      <x:alignment horizontal="right" vertical="center" wrapText="0"/>
    </x:xf>
    <x:xf numFmtId="203" fontId="23" fillId="3" borderId="0" xfId="0" applyNumberFormat="1" applyFont="1" applyFill="1" applyBorder="1" applyAlignment="1">
      <x:alignment horizontal="right" vertical="center" wrapText="0"/>
    </x:xf>
    <x:xf numFmtId="164" fontId="8" fillId="3" borderId="0" xfId="0" applyNumberFormat="1" applyFont="1" applyFill="1" applyBorder="1" applyAlignment="1">
      <x:alignment horizontal="general" vertical="bottom" wrapText="0"/>
    </x:xf>
    <x:xf numFmtId="164" fontId="7" fillId="3" borderId="0" xfId="0" applyNumberFormat="1" applyFont="1" applyFill="1" applyBorder="1" applyAlignment="1">
      <x:alignment horizontal="general" vertical="bottom" wrapText="0"/>
    </x:xf>
    <x:xf numFmtId="164" fontId="21" fillId="3" borderId="0" xfId="0" applyNumberFormat="1" applyFont="1" applyFill="1" applyBorder="1" applyAlignment="1">
      <x:alignment horizontal="general" vertical="bottom" wrapText="0"/>
    </x:xf>
    <x:xf numFmtId="202" fontId="24" fillId="3" borderId="0" xfId="0" applyNumberFormat="1" applyFont="1" applyFill="1" applyBorder="1" applyAlignment="1">
      <x:alignment horizontal="right" vertical="center" wrapText="0"/>
    </x:xf>
    <x:xf numFmtId="202" fontId="7" fillId="3" borderId="0" xfId="0" applyNumberFormat="1" applyFont="1" applyFill="1" applyBorder="1" applyAlignment="1">
      <x:alignment horizontal="right" vertical="center" wrapText="0"/>
    </x:xf>
    <x:xf numFmtId="202" fontId="25" fillId="3" borderId="0" xfId="0" applyNumberFormat="1" applyFont="1" applyFill="1" applyBorder="1" applyAlignment="1">
      <x:alignment horizontal="right" vertical="center" wrapText="0"/>
    </x:xf>
    <x:xf numFmtId="202" fontId="12" fillId="3" borderId="0" xfId="0" applyNumberFormat="1" applyFont="1" applyFill="1" applyBorder="1" applyAlignment="1">
      <x:alignment horizontal="right" vertical="center" wrapText="0"/>
    </x:xf>
    <x:xf numFmtId="201" fontId="25" fillId="3" borderId="0" xfId="0" applyNumberFormat="1" applyFont="1" applyFill="1" applyBorder="1" applyAlignment="1">
      <x:alignment horizontal="right" vertical="center" wrapText="0"/>
    </x:xf>
    <x:xf numFmtId="201" fontId="7" fillId="3" borderId="0" xfId="0" applyNumberFormat="1" applyFont="1" applyFill="1" applyBorder="1" applyAlignment="1">
      <x:alignment horizontal="right" vertical="center" wrapText="0"/>
    </x:xf>
    <x:xf numFmtId="164" fontId="37" fillId="0" borderId="0" xfId="0" applyNumberFormat="1" applyFont="1" applyFill="1" applyBorder="1" applyAlignment="1">
      <x:alignment horizontal="general" vertical="bottom" wrapText="0"/>
    </x:xf>
    <x:xf numFmtId="164" fontId="38" fillId="0" borderId="0" xfId="0" applyNumberFormat="1" applyFont="1" applyFill="1" applyBorder="1" applyAlignment="1">
      <x:alignment horizontal="general" vertical="bottom" wrapText="0"/>
    </x:xf>
    <x:xf numFmtId="164" fontId="39" fillId="0" borderId="0" xfId="0" applyNumberFormat="1" applyFont="1" applyFill="1" applyBorder="1" applyAlignment="1">
      <x:alignment horizontal="general" vertical="bottom" wrapText="0"/>
    </x:xf>
    <x:xf numFmtId="164" fontId="38" fillId="0" borderId="0" xfId="0" applyNumberFormat="1" applyFont="1" applyFill="1" applyBorder="1" applyAlignment="1">
      <x:alignment horizontal="general" vertical="bottom" wrapText="1"/>
    </x:xf>
    <x:xf numFmtId="164" fontId="39" fillId="0" borderId="0" xfId="0" applyNumberFormat="1" applyFont="1" applyFill="1" applyBorder="1" applyAlignment="1">
      <x:alignment horizontal="general" vertical="bottom" wrapText="1"/>
    </x:xf>
    <x:xf numFmtId="164" fontId="38" fillId="0" borderId="0" xfId="0" applyNumberFormat="1" applyFont="1" applyFill="1" applyBorder="1" applyAlignment="1">
      <x:alignment horizontal="general" vertical="top" wrapText="1"/>
    </x:xf>
    <x:xf numFmtId="164" fontId="39" fillId="0" borderId="0" xfId="0" applyNumberFormat="1" applyFont="1" applyFill="1" applyBorder="1" applyAlignment="1">
      <x:alignment horizontal="general" vertical="top" wrapText="1"/>
    </x:xf>
    <x:xf numFmtId="164" fontId="32" fillId="7" borderId="0" xfId="0" applyNumberFormat="1" applyFont="1" applyFill="1" applyBorder="1" applyAlignment="1">
      <x:alignment horizontal="right" vertical="center" wrapText="0"/>
    </x:xf>
    <x:xf numFmtId="206" fontId="7" fillId="7" borderId="0" xfId="0" applyNumberFormat="1" applyFont="1" applyFill="1" applyBorder="1" applyAlignment="1">
      <x:alignment horizontal="general" vertical="bottom" wrapText="0"/>
    </x:xf>
    <x:xf numFmtId="165" fontId="14" fillId="7" borderId="0" xfId="0" applyNumberFormat="1" applyFont="1" applyFill="1" applyBorder="1" applyAlignment="1">
      <x:alignment horizontal="right" vertical="center" wrapText="0"/>
    </x:xf>
    <x:xf numFmtId="165" fontId="17" fillId="7" borderId="0" xfId="0" applyNumberFormat="1" applyFont="1" applyFill="1" applyBorder="1" applyAlignment="1">
      <x:alignment horizontal="right" vertical="center" wrapText="0"/>
    </x:xf>
    <x:xf numFmtId="164" fontId="15" fillId="7" borderId="0" xfId="0" applyNumberFormat="1" applyFont="1" applyFill="1" applyBorder="1" applyAlignment="1">
      <x:alignment horizontal="left" vertical="top" wrapText="1"/>
    </x:xf>
    <x:xf numFmtId="164" fontId="5" fillId="7" borderId="0" xfId="0" applyNumberFormat="1" applyFont="1" applyFill="1" applyBorder="1" applyAlignment="1">
      <x:alignment horizontal="left" vertical="top" wrapText="1"/>
    </x:xf>
    <x:xf numFmtId="164" fontId="7" fillId="7" borderId="0" xfId="0" applyNumberFormat="1" applyFont="1" applyFill="1" applyBorder="1" applyAlignment="1">
      <x:alignment horizontal="right" vertical="center" wrapText="0"/>
    </x:xf>
    <x:xf numFmtId="164" fontId="14" fillId="7" borderId="0" xfId="0" applyNumberFormat="1" applyFont="1" applyFill="1" applyBorder="1" applyAlignment="1">
      <x:alignment horizontal="right" vertical="center" wrapText="0"/>
    </x:xf>
    <x:xf numFmtId="201" fontId="11" fillId="7" borderId="0" xfId="0" applyNumberFormat="1" applyFont="1" applyFill="1" applyBorder="1" applyAlignment="1">
      <x:alignment horizontal="general" vertical="bottom" wrapText="0"/>
    </x:xf>
    <x:xf numFmtId="201" fontId="11" fillId="7" borderId="0" xfId="0" applyNumberFormat="1" applyFont="1" applyFill="1" applyBorder="1" applyAlignment="1">
      <x:alignment horizontal="right" vertical="center" wrapText="0"/>
    </x:xf>
    <x:xf numFmtId="164" fontId="6" fillId="7" borderId="0" xfId="0" applyNumberFormat="1" applyFont="1" applyFill="1" applyBorder="1" applyAlignment="1">
      <x:alignment horizontal="general" vertical="bottom" wrapText="0"/>
    </x:xf>
    <x:xf numFmtId="164" fontId="9" fillId="7" borderId="0" xfId="0" applyNumberFormat="1" applyFont="1" applyFill="1" applyBorder="1" applyAlignment="1">
      <x:alignment horizontal="general" vertical="bottom" wrapText="0"/>
    </x:xf>
    <x:xf numFmtId="164" fontId="12" fillId="7" borderId="0" xfId="0" applyNumberFormat="1" applyFont="1" applyFill="1" applyBorder="1" applyAlignment="1">
      <x:alignment horizontal="general" vertical="bottom" wrapText="0"/>
    </x:xf>
    <x:xf numFmtId="164" fontId="14" fillId="7" borderId="0" xfId="0" applyNumberFormat="1" applyFont="1" applyFill="1" applyBorder="1" applyAlignment="1">
      <x:alignment horizontal="left" vertical="top" wrapText="1"/>
    </x:xf>
    <x:xf numFmtId="167" fontId="8" fillId="9" borderId="0" xfId="0" applyNumberFormat="1" applyFont="1" applyFill="1" applyBorder="1" applyAlignment="1">
      <x:alignment horizontal="right" vertical="center" wrapText="0"/>
    </x:xf>
    <x:xf numFmtId="203" fontId="7" fillId="9" borderId="0" xfId="0" applyNumberFormat="1" applyFont="1" applyFill="1" applyBorder="1" applyAlignment="1">
      <x:alignment horizontal="right" vertical="center" wrapText="0"/>
    </x:xf>
    <x:xf numFmtId="202" fontId="7" fillId="9" borderId="0" xfId="0" applyNumberFormat="1" applyFont="1" applyFill="1" applyBorder="1" applyAlignment="1">
      <x:alignment horizontal="general" vertical="bottom" wrapText="0"/>
    </x:xf>
    <x:xf numFmtId="203" fontId="7" fillId="9" borderId="0" xfId="0" applyNumberFormat="1" applyFont="1" applyFill="1" applyBorder="1" applyAlignment="1">
      <x:alignment horizontal="general" vertical="bottom" wrapText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1">
    <x:dxf>
      <x:font>
        <x:color rgb="FF9C0006"/>
      </x:font>
      <x:fill>
        <x:patternFill patternType="solid">
          <x:bgColor rgb="FFFCE4D6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B8860B"/>
      <x:rgbColor rgb="FF800080"/>
      <x:rgbColor rgb="FF008080"/>
      <x:rgbColor rgb="FFC0C0C0"/>
      <x:rgbColor rgb="FF878787"/>
      <x:rgbColor rgb="FF9999FF"/>
      <x:rgbColor rgb="FF993366"/>
      <x:rgbColor rgb="FFFDF7EE"/>
      <x:rgbColor rgb="FFCCFFFF"/>
      <x:rgbColor rgb="FF660066"/>
      <x:rgbColor rgb="FFFF8080"/>
      <x:rgbColor rgb="FF0066CC"/>
      <x:rgbColor rgb="FFD9D9D9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EFE6D2"/>
      <x:rgbColor rgb="FFFFF2A8"/>
      <x:rgbColor rgb="FF99CCFF"/>
      <x:rgbColor rgb="FFFF99CC"/>
      <x:rgbColor rgb="FFCC99FF"/>
      <x:rgbColor rgb="FFF3E6C4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1A1A17"/>
      <x:rgbColor rgb="FF993300"/>
      <x:rgbColor rgb="FF993366"/>
      <x:rgbColor rgb="FF333399"/>
      <x:rgbColor rgb="FF2E2A22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dcb72ba5c4604" /><Relationship Type="http://schemas.openxmlformats.org/officeDocument/2006/relationships/theme" Target="/xl/theme/theme1.xml" Id="Re99fb55f93114324" /><Relationship Type="http://schemas.openxmlformats.org/officeDocument/2006/relationships/sharedStrings" Target="/xl/sharedStrings.xml" Id="R4a08857f4af44e6f" /><Relationship Type="http://schemas.openxmlformats.org/officeDocument/2006/relationships/worksheet" Target="/xl/worksheets/sheet1.xml" Id="Rb77bee6f5ad14cf7" /><Relationship Type="http://schemas.openxmlformats.org/officeDocument/2006/relationships/worksheet" Target="/xl/worksheets/sheet2.xml" Id="R9bd57155c9364f6f" /><Relationship Type="http://schemas.openxmlformats.org/officeDocument/2006/relationships/worksheet" Target="/xl/worksheets/sheet3.xml" Id="R8cb8f59f1a744b69" /><Relationship Type="http://schemas.openxmlformats.org/officeDocument/2006/relationships/worksheet" Target="/xl/worksheets/sheet4.xml" Id="R7c6fc4ca8fef4c47" /><Relationship Type="http://schemas.openxmlformats.org/officeDocument/2006/relationships/worksheet" Target="/xl/worksheets/sheet5.xml" Id="Rf8a7ae1d6b3c4460" /><Relationship Type="http://schemas.openxmlformats.org/officeDocument/2006/relationships/worksheet" Target="/xl/worksheets/sheet6.xml" Id="R2be34e8b67f74e58" /><Relationship Type="http://schemas.openxmlformats.org/officeDocument/2006/relationships/worksheet" Target="/xl/worksheets/sheet7.xml" Id="R4c64fcc31e5b426b" /><Relationship Type="http://schemas.openxmlformats.org/officeDocument/2006/relationships/worksheet" Target="/xl/worksheets/sheet8.xml" Id="R75d14ec6252c4bb3" /><Relationship Type="http://schemas.openxmlformats.org/officeDocument/2006/relationships/worksheet" Target="/xl/worksheets/sheet9.xml" Id="R027a24227aca4834" /><Relationship Type="http://schemas.openxmlformats.org/officeDocument/2006/relationships/worksheet" Target="/xl/worksheets/sheet10.xml" Id="Rf729006ba6a14958" /><Relationship Type="http://schemas.openxmlformats.org/officeDocument/2006/relationships/worksheet" Target="/xl/worksheets/sheet11.xml" Id="R37fc5dda43a6429e" /><Relationship Type="http://schemas.openxmlformats.org/officeDocument/2006/relationships/worksheet" Target="/xl/worksheets/sheet12.xml" Id="R1677c6f09aec4354" /><Relationship Type="http://schemas.openxmlformats.org/officeDocument/2006/relationships/worksheet" Target="/xl/worksheets/sheet13.xml" Id="R5d06e51007094536" /><Relationship Type="http://schemas.openxmlformats.org/officeDocument/2006/relationships/worksheet" Target="/xl/worksheets/sheet14.xml" Id="Rdd463a74b48440cc" /><Relationship Type="http://schemas.openxmlformats.org/officeDocument/2006/relationships/worksheet" Target="/xl/worksheets/sheet15.xml" Id="R328831f67e21443b" /><Relationship Type="http://schemas.microsoft.com/office/2017/10/relationships/person" Target="/xl/persons/person.xml" Id="R86207d3c658348d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a354119857048d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Value per share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Value / share</c:v>
          </c:tx>
          <c:cat>
            <c:strRef>
              <c:f>'Valuation Summary'!$F$10:$F$14</c:f>
              <c:strCache>
                <c:ptCount val="0"/>
              </c:strCache>
            </c:strRef>
          </c:cat>
          <c:val>
            <c:numRef>
              <c:f>'Valuation Summary'!$G$10:$G$14</c:f>
              <c:numCache>
                <c:formatCode>$0.00;($0.00);"—"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21</xdr:row>
      <xdr:rowOff>0</xdr:rowOff>
    </xdr:from>
    <xdr:to>
      <xdr:col>10</xdr:col>
      <xdr:colOff>0</xdr:colOff>
      <xdr:row>37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a354119857048d8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Mike Ye" id="{897BFD82-B7BD-4E5D-8DD9-BDF823CA5080}"/>
</xltc:personList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C9" dT="2026-09-08T00:27:54.669" personId="{897BFD82-B7BD-4E5D-8DD9-BDF823CA5080}" id="{60F3F716-D278-4BEB-BBD3-DBC6928EA2A5}">
    <xltc:text>Source: https://investor.ziffdavis.com/news/news-details/2026/Ziff-Davis-Reports-Second-Quarter-2026-Financial-Results/default.aspx
June 30, 2026; USD millions unless shares.</xltc:text>
  </xltc:threadedComment>
  <xltc:threadedComment ref="C10" dT="2026-09-08T00:27:54.67" personId="{897BFD82-B7BD-4E5D-8DD9-BDF823CA5080}" id="{86EA0B23-99ED-4A49-A4B3-EC75F3E77210}">
    <xltc:text>Source: https://investor.ziffdavis.com/news/news-details/2026/Ziff-Davis-Reports-Second-Quarter-2026-Financial-Results/default.aspx
June 30, 2026; USD millions unless shares.</xltc:text>
  </xltc:threadedComment>
  <xltc:threadedComment ref="C11" dT="2026-09-08T00:27:54.67" personId="{897BFD82-B7BD-4E5D-8DD9-BDF823CA5080}" id="{3D972130-7C56-4A15-8568-BD0970A728B0}">
    <xltc:text>Source: https://investor.ziffdavis.com/news/news-details/2026/Ziff-Davis-Reports-Second-Quarter-2026-Financial-Results/default.aspx
June 30, 2026; USD millions unless shares.</xltc:text>
  </xltc:threadedComment>
  <xltc:threadedComment ref="C14" dT="2026-09-08T00:27:54.67" personId="{897BFD82-B7BD-4E5D-8DD9-BDF823CA5080}" id="{B14EE0E2-AE3D-474E-AD39-F2F26E260D32}">
    <xltc:text>Source: https://investor.ziffdavis.com/news/news-details/2026/Ziff-Davis-Reports-Second-Quarter-2026-Financial-Results/default.aspx
June 30, 2026; USD millions unless shares.</xltc:text>
  </xltc:threadedComment>
  <xltc:threadedComment ref="C16" dT="2026-09-08T00:27:54.67" personId="{897BFD82-B7BD-4E5D-8DD9-BDF823CA5080}" id="{31043338-2772-47AB-9E72-993444CBD256}">
    <xltc:text>Source: https://investor.ziffdavis.com/news/news-details/2026/Ziff-Davis-Reports-Second-Quarter-2026-Financial-Results/default.aspx
June 30, 2026; USD millions unless shares.</xltc:text>
  </xltc:threadedComment>
  <xltc:threadedComment ref="C17" dT="2026-09-08T00:27:54.67" personId="{897BFD82-B7BD-4E5D-8DD9-BDF823CA5080}" id="{34C01D6B-0135-47A0-B724-6ED12FEF36BB}">
    <xltc:text>Source: https://investor.ziffdavis.com/news/news-details/2026/Ziff-Davis-Reports-Second-Quarter-2026-Financial-Results/default.aspx
June 30, 2026; USD millions unless shares.</xltc:text>
  </xltc:threadedComment>
  <xltc:threadedComment ref="C18" dT="2026-09-08T00:27:54.67" personId="{897BFD82-B7BD-4E5D-8DD9-BDF823CA5080}" id="{BADC168F-6B93-446E-B41E-6A09BA4F81D9}">
    <xltc:text>Source: https://investor.ziffdavis.com/news/news-details/2026/Ziff-Davis-Reports-Second-Quarter-2026-Financial-Results/default.aspx
June 30, 2026; USD millions unless shares.</xltc:text>
  </xltc:threadedComment>
  <xltc:threadedComment ref="C19" dT="2026-09-08T00:27:54.671" personId="{897BFD82-B7BD-4E5D-8DD9-BDF823CA5080}" id="{AE48EFB4-8AF4-440A-AC84-44EF840D949A}">
    <xltc:text>Source: https://investor.ziffdavis.com/news/news-details/2026/Ziff-Davis-Reports-Second-Quarter-2026-Financial-Results/default.aspx
June 30, 2026; USD millions unless shares.</xltc:text>
  </xltc:threadedComment>
  <xltc:threadedComment ref="C20" dT="2026-09-08T00:27:54.671" personId="{897BFD82-B7BD-4E5D-8DD9-BDF823CA5080}" id="{34E03206-C36B-4E9F-BFBC-92374066D7F1}">
    <xltc:text>Source: https://investor.ziffdavis.com/news/news-details/2026/Ziff-Davis-Reports-Second-Quarter-2026-Financial-Results/default.aspx
June 30, 2026; USD millions unless shares.</xltc:text>
  </xltc:threadedComment>
  <xltc:threadedComment ref="C21" dT="2026-09-08T00:27:54.671" personId="{897BFD82-B7BD-4E5D-8DD9-BDF823CA5080}" id="{48F54630-01D2-4247-A577-C8251CF0C240}">
    <xltc:text>Source: https://investor.ziffdavis.com/news/news-details/2026/Ziff-Davis-Reports-Second-Quarter-2026-Financial-Results/default.aspx
June 30, 2026; USD millions unless shares.</xltc:text>
  </xltc:threadedComment>
  <xltc:threadedComment ref="C22" dT="2026-09-08T00:27:54.671" personId="{897BFD82-B7BD-4E5D-8DD9-BDF823CA5080}" id="{2642373F-89FB-4BC6-BFF8-215E8F85BBF0}">
    <xltc:text>Source: https://investor.ziffdavis.com/news/news-details/2026/Ziff-Davis-Reports-Second-Quarter-2026-Financial-Results/default.aspx
June 30, 2026; USD millions unless shares.</xltc:text>
  </xltc:threadedComment>
  <xltc:threadedComment ref="C23" dT="2026-09-08T00:27:54.671" personId="{897BFD82-B7BD-4E5D-8DD9-BDF823CA5080}" id="{A4B14DFA-5FA6-4E0F-BFD0-AD043B42B05F}">
    <xltc:text>Source: https://investor.ziffdavis.com/news/news-details/2026/Ziff-Davis-Reports-Second-Quarter-2026-Financial-Results/default.aspx
June 30, 2026; USD millions unless shares.</xltc:text>
  </xltc:threadedComment>
  <xltc:threadedComment ref="C24" dT="2026-09-08T00:27:54.671" personId="{897BFD82-B7BD-4E5D-8DD9-BDF823CA5080}" id="{606C2B57-521A-4A7B-93DC-D1B9CE63987A}">
    <xltc:text>Source: https://investor.ziffdavis.com/news/news-details/2026/Ziff-Davis-Reports-Second-Quarter-2026-Financial-Results/default.aspx
June 30, 2026; USD millions unless shares.</xltc:text>
  </xltc:threadedComment>
  <xltc:threadedComment ref="C25" dT="2026-09-08T00:27:54.671" personId="{897BFD82-B7BD-4E5D-8DD9-BDF823CA5080}" id="{94E3C804-4791-41D3-B702-89F429679E50}">
    <xltc:text>Source: https://investor.ziffdavis.com/news/news-details/2026/Ziff-Davis-Reports-Second-Quarter-2026-Financial-Results/default.aspx
June 30, 2026; USD millions unless shares.</xltc:text>
  </xltc:threadedComment>
  <xltc:threadedComment ref="C26" dT="2026-09-08T00:27:54.671" personId="{897BFD82-B7BD-4E5D-8DD9-BDF823CA5080}" id="{EA55826F-466D-4CE8-91AE-DE06DE352D7F}">
    <xltc:text>Source: https://investor.ziffdavis.com/news/news-details/2026/Ziff-Davis-Reports-Second-Quarter-2026-Financial-Results/default.aspx
June 30, 2026; USD millions unless shares.</xltc:text>
  </xltc:threadedComment>
  <xltc:threadedComment ref="C27" dT="2026-09-08T00:27:54.671" personId="{897BFD82-B7BD-4E5D-8DD9-BDF823CA5080}" id="{72F9EB2A-8862-4913-91E9-0943438C00D1}">
    <xltc:text>Source: https://investor.ziffdavis.com/news/news-details/2026/Ziff-Davis-Reports-Second-Quarter-2026-Financial-Results/default.aspx
June 30, 2026; USD millions unless shares.</xltc:text>
  </xltc:threadedComment>
  <xltc:threadedComment ref="C28" dT="2026-09-08T00:27:54.671" personId="{897BFD82-B7BD-4E5D-8DD9-BDF823CA5080}" id="{427625FB-2FCB-48C7-BF10-68AE7BCFA70E}">
    <xltc:text>Source: https://investor.ziffdavis.com/news/news-details/2026/Ziff-Davis-Reports-Second-Quarter-2026-Financial-Results/default.aspx
June 30, 2026; USD millions unless shares.</xltc:text>
  </xltc:threadedComment>
  <xltc:threadedComment ref="C29" dT="2026-09-08T00:27:54.671" personId="{897BFD82-B7BD-4E5D-8DD9-BDF823CA5080}" id="{1163D476-F1EB-43D2-9C80-49E2230FFEA8}">
    <xltc:text>Source: https://investor.ziffdavis.com/news/news-details/2026/Ziff-Davis-Reports-Second-Quarter-2026-Financial-Results/default.aspx
June 30, 2026; USD millions unless shares.</xltc:text>
  </xltc:threadedComment>
  <xltc:threadedComment ref="C30" dT="2026-09-08T00:27:54.671" personId="{897BFD82-B7BD-4E5D-8DD9-BDF823CA5080}" id="{88A4A723-6569-49ED-BC3A-A70AAE592567}">
    <xltc:text>Source: https://investor.ziffdavis.com/news/news-details/2026/Ziff-Davis-Reports-Second-Quarter-2026-Financial-Results/default.aspx
June 30, 2026; USD millions unless shares.</xltc:text>
  </xltc:threadedComment>
  <xltc:threadedComment ref="C31" dT="2026-09-08T00:27:54.671" personId="{897BFD82-B7BD-4E5D-8DD9-BDF823CA5080}" id="{E9ACC1B2-986B-4B7E-9EB5-864F2B065018}">
    <xltc:text>Source: https://investor.ziffdavis.com/news/news-details/2026/Ziff-Davis-Reports-Second-Quarter-2026-Financial-Results/default.aspx
June 30, 2026; USD millions unless shares.</xltc:text>
  </xltc:threadedComment>
  <xltc:threadedComment ref="C32" dT="2026-09-08T00:27:54.671" personId="{897BFD82-B7BD-4E5D-8DD9-BDF823CA5080}" id="{6E34CC68-533B-4AF5-96B5-1702C569808E}">
    <xltc:text>Source: https://investor.ziffdavis.com/news/news-details/2026/Ziff-Davis-Reports-Second-Quarter-2026-Financial-Results/default.aspx
June 30, 2026; USD millions unless shares.</xltc:text>
  </xltc:threadedComment>
  <xltc:threadedComment ref="C33" dT="2026-09-08T00:27:54.671" personId="{897BFD82-B7BD-4E5D-8DD9-BDF823CA5080}" id="{75E4D187-7BFB-41A8-A4A9-6E704FC93C71}">
    <xltc:text>Source: https://investor.ziffdavis.com/news/news-details/2026/Ziff-Davis-Reports-Second-Quarter-2026-Financial-Results/default.aspx
June 30, 2026; USD millions unless shares.</xltc:text>
  </xltc:threadedComment>
  <xltc:threadedComment ref="C34" dT="2026-09-08T00:27:54.671" personId="{897BFD82-B7BD-4E5D-8DD9-BDF823CA5080}" id="{01978C36-D45A-4417-872C-BB31B2358A0F}">
    <xltc:text>Source: https://investor.ziffdavis.com/news/news-details/2026/Ziff-Davis-Reports-Second-Quarter-2026-Financial-Results/default.aspx
June 30, 2026; USD millions unless shares.</xltc:text>
  </xltc:threadedComment>
  <xltc:threadedComment ref="C35" dT="2026-09-08T00:27:54.671" personId="{897BFD82-B7BD-4E5D-8DD9-BDF823CA5080}" id="{B3C07CA6-CBAF-4779-8C20-0215979BEDF0}">
    <xltc:text>Source: https://investor.ziffdavis.com/news/news-details/2026/Ziff-Davis-Reports-Second-Quarter-2026-Financial-Results/default.aspx
June 30, 2026; USD millions unless shares.</xltc:text>
  </xltc:threadedComment>
  <xltc:threadedComment ref="C36" dT="2026-09-08T00:27:54.671" personId="{897BFD82-B7BD-4E5D-8DD9-BDF823CA5080}" id="{52190734-1CD1-494A-8C94-38F7CCEC94ED}">
    <xltc:text>Source: https://investor.ziffdavis.com/news/news-details/2026/Ziff-Davis-Reports-Second-Quarter-2026-Financial-Results/default.aspx
June 30, 2026; USD millions unless shares.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4da1f806c7c142c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1.xml" Id="R16be42f6a2a14b2e" /><Relationship Type="http://schemas.openxmlformats.org/officeDocument/2006/relationships/vmlDrawing" Target="/xl/drawings/vmldrawing.vml" Id="R111beb72656d48b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comments" Target="/xl/comments2.xml" Id="R5e1f9dc7f7194b26" /><Relationship Type="http://schemas.openxmlformats.org/officeDocument/2006/relationships/vmlDrawing" Target="/xl/drawings/vmldrawing2.vml" Id="Re6f0ed07761f4da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comments" Target="/xl/comments3.xml" Id="R3dd1b0c76c484379" /><Relationship Type="http://schemas.openxmlformats.org/officeDocument/2006/relationships/vmlDrawing" Target="/xl/drawings/vmldrawing3.vml" Id="Rb38ef74db5434145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comments" Target="/xl/comments4.xml" Id="R3643287f7a234e94" /><Relationship Type="http://schemas.openxmlformats.org/officeDocument/2006/relationships/vmlDrawing" Target="/xl/drawings/vmldrawing4.vml" Id="R5c227cf0e5764081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comments" Target="/xl/comments5.xml" Id="R2605aa7507da4ffc" /><Relationship Type="http://schemas.openxmlformats.org/officeDocument/2006/relationships/vmlDrawing" Target="/xl/drawings/vmldrawing5.vml" Id="Rc9b354562ef446c4" /><Relationship Type="http://schemas.microsoft.com/office/2017/10/relationships/threadedComment" Target="/xl/threadedcomments/threadedcomment.xml" Id="Raf706707dc9348ef" /></Relationships>
</file>

<file path=xl/worksheets/sheet1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6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2" hidden="0" customHeight="1">
      <x:c r="A1" s="133" t="str">
        <x:v>ZIFF DAVIS | PRACTICAL VALUATION MODEL</x:v>
      </x:c>
      <x:c r="B1" s="133"/>
      <x:c r="C1" s="133"/>
      <x:c r="D1" s="133"/>
      <x:c r="E1" s="133"/>
      <x:c r="F1" s="133"/>
      <x:c r="G1" s="133"/>
      <x:c r="H1" s="133"/>
      <x:c r="I1" s="133"/>
      <x:c r="J1" s="133"/>
      <x:c r="K1" s="1"/>
      <x:c r="L1" s="1"/>
      <x:c r="M1" s="2"/>
      <x:c r="N1" s="2"/>
    </x:row>
    <x:row r="2" ht="21" hidden="0" customHeight="1">
      <x:c r="A2" s="135" t="str">
        <x:v>MikeYe.com • Version 1.2.1 • November 2026</x:v>
      </x:c>
      <x:c r="B2" s="135"/>
      <x:c r="C2" s="135"/>
      <x:c r="D2" s="135"/>
      <x:c r="E2" s="135"/>
      <x:c r="F2" s="135"/>
      <x:c r="G2" s="135"/>
      <x:c r="H2" s="135"/>
      <x:c r="I2" s="135"/>
      <x:c r="J2" s="135"/>
      <x:c r="K2" s="3"/>
      <x:c r="L2" s="3"/>
      <x:c r="M2" s="2"/>
      <x:c r="N2" s="2"/>
    </x:row>
    <x:row r="3" ht="21" hidden="0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  <x:c r="K3" s="2"/>
      <x:c r="L3" s="2"/>
      <x:c r="M3" s="2"/>
      <x:c r="N3" s="2"/>
    </x:row>
    <x:row r="4" ht="21" hidden="0" customHeight="1">
      <x:c r="A4" s="90"/>
      <x:c r="B4" s="110"/>
      <x:c r="C4" s="90"/>
      <x:c r="D4" s="90"/>
      <x:c r="E4" s="90"/>
      <x:c r="F4" s="90"/>
      <x:c r="G4" s="90"/>
      <x:c r="H4" s="90"/>
      <x:c r="I4" s="90"/>
      <x:c r="J4" s="90"/>
      <x:c r="K4" s="2"/>
      <x:c r="L4" s="2"/>
      <x:c r="M4" s="2"/>
      <x:c r="N4" s="2"/>
    </x:row>
    <x:row r="5" ht="21" hidden="0" customHeight="1">
      <x:c r="A5" s="90"/>
      <x:c r="B5" s="252" t="str">
        <x:v>Calculation status</x:v>
      </x:c>
      <x:c r="C5" s="298" t="str">
        <x:f>'Checks'!F30</x:f>
        <x:v>PASS</x:v>
      </x:c>
      <x:c r="D5" s="252"/>
      <x:c r="E5" s="90"/>
      <x:c r="F5" s="90"/>
      <x:c r="G5" s="90"/>
      <x:c r="H5" s="90"/>
      <x:c r="I5" s="90"/>
      <x:c r="J5" s="90"/>
      <x:c r="K5" s="2"/>
      <x:c r="L5" s="2"/>
      <x:c r="M5" s="2"/>
      <x:c r="N5" s="2"/>
    </x:row>
    <x:row r="6" ht="21" hidden="0" customHeight="1">
      <x:c r="A6" s="90"/>
      <x:c r="B6" s="252"/>
      <x:c r="C6" s="252"/>
      <x:c r="D6" s="252"/>
      <x:c r="E6" s="90"/>
      <x:c r="F6" s="90"/>
      <x:c r="G6" s="90"/>
      <x:c r="H6" s="90"/>
      <x:c r="I6" s="90"/>
      <x:c r="J6" s="90"/>
      <x:c r="K6" s="2"/>
      <x:c r="L6" s="2"/>
      <x:c r="M6" s="2"/>
      <x:c r="N6" s="2"/>
    </x:row>
    <x:row r="7" ht="21" hidden="0" customHeight="1">
      <x:c r="A7" s="90"/>
      <x:c r="B7" s="252"/>
      <x:c r="C7" s="252"/>
      <x:c r="D7" s="252"/>
      <x:c r="E7" s="90"/>
      <x:c r="F7" s="90"/>
      <x:c r="G7" s="90"/>
      <x:c r="H7" s="90"/>
      <x:c r="I7" s="90"/>
      <x:c r="J7" s="90"/>
      <x:c r="K7" s="2"/>
      <x:c r="L7" s="2"/>
      <x:c r="M7" s="2"/>
      <x:c r="N7" s="2"/>
    </x:row>
    <x:row r="8" ht="21" hidden="0" customHeight="1">
      <x:c r="A8" s="90"/>
      <x:c r="B8" s="252"/>
      <x:c r="C8" s="252"/>
      <x:c r="D8" s="252"/>
      <x:c r="E8" s="90"/>
      <x:c r="F8" s="90"/>
      <x:c r="G8" s="90"/>
      <x:c r="H8" s="90"/>
      <x:c r="I8" s="90"/>
      <x:c r="J8" s="90"/>
      <x:c r="K8" s="2"/>
      <x:c r="L8" s="2"/>
      <x:c r="M8" s="2"/>
      <x:c r="N8" s="2"/>
    </x:row>
    <x:row r="9" ht="21" hidden="0" customHeight="1">
      <x:c r="A9" s="90"/>
      <x:c r="B9" s="106" t="str">
        <x:v>Start with the business that remains. Which earnings survive without Connectivity? What cash is available after taxes? What can you pay without depending on another acquisition?</x:v>
      </x:c>
      <x:c r="C9" s="106"/>
      <x:c r="D9" s="106"/>
      <x:c r="E9" s="106"/>
      <x:c r="F9" s="106"/>
      <x:c r="G9" s="106"/>
      <x:c r="H9" s="106"/>
      <x:c r="I9" s="106"/>
      <x:c r="J9" s="106"/>
      <x:c r="K9" s="2"/>
      <x:c r="L9" s="2"/>
      <x:c r="M9" s="2"/>
      <x:c r="N9" s="2"/>
    </x:row>
    <x:row r="10" ht="21" hidden="0" customHeight="1">
      <x:c r="A10" s="90"/>
      <x:c r="B10" s="240"/>
      <x:c r="C10" s="106"/>
      <x:c r="D10" s="106"/>
      <x:c r="E10" s="106"/>
      <x:c r="F10" s="106"/>
      <x:c r="G10" s="106"/>
      <x:c r="H10" s="106"/>
      <x:c r="I10" s="106"/>
      <x:c r="J10" s="106"/>
      <x:c r="K10" s="2"/>
      <x:c r="L10" s="2"/>
      <x:c r="M10" s="2"/>
      <x:c r="N10" s="2"/>
    </x:row>
    <x:row r="11" ht="21" hidden="0" customHeight="1">
      <x:c r="A11" s="90"/>
      <x:c r="B11" s="240"/>
      <x:c r="C11" s="106"/>
      <x:c r="D11" s="106"/>
      <x:c r="E11" s="106"/>
      <x:c r="F11" s="106"/>
      <x:c r="G11" s="106"/>
      <x:c r="H11" s="106"/>
      <x:c r="I11" s="106"/>
      <x:c r="J11" s="106"/>
      <x:c r="K11" s="2"/>
      <x:c r="L11" s="2"/>
      <x:c r="M11" s="2"/>
      <x:c r="N11" s="2"/>
    </x:row>
    <x:row r="12" ht="21" hidden="0" customHeight="1">
      <x:c r="A12" s="90"/>
      <x:c r="B12" s="110"/>
      <x:c r="C12" s="90"/>
      <x:c r="D12" s="90"/>
      <x:c r="E12" s="90"/>
      <x:c r="F12" s="90"/>
      <x:c r="G12" s="90"/>
      <x:c r="H12" s="90"/>
      <x:c r="I12" s="90"/>
      <x:c r="J12" s="90"/>
      <x:c r="K12" s="2"/>
      <x:c r="L12" s="2"/>
      <x:c r="M12" s="2"/>
      <x:c r="N12" s="2"/>
    </x:row>
    <x:row r="13" ht="21" hidden="0" customHeight="1">
      <x:c r="A13" s="90"/>
      <x:c r="B13" s="110"/>
      <x:c r="C13" s="90"/>
      <x:c r="D13" s="90"/>
      <x:c r="E13" s="90"/>
      <x:c r="F13" s="90"/>
      <x:c r="G13" s="90"/>
      <x:c r="H13" s="90"/>
      <x:c r="I13" s="90"/>
      <x:c r="J13" s="90"/>
      <x:c r="K13" s="2"/>
      <x:c r="L13" s="2"/>
      <x:c r="M13" s="2"/>
      <x:c r="N13" s="2"/>
    </x:row>
    <x:row r="14" ht="21" hidden="0" customHeight="1">
      <x:c r="A14" s="90"/>
      <x:c r="B14" s="240" t="str">
        <x:v>1. Assumptions: select Base, Upside or Downside and change the blue inputs.</x:v>
      </x:c>
      <x:c r="C14" s="106"/>
      <x:c r="D14" s="106"/>
      <x:c r="E14" s="106"/>
      <x:c r="F14" s="106"/>
      <x:c r="G14" s="106"/>
      <x:c r="H14" s="106"/>
      <x:c r="I14" s="106"/>
      <x:c r="J14" s="106"/>
      <x:c r="K14" s="2"/>
      <x:c r="L14" s="2"/>
      <x:c r="M14" s="2"/>
      <x:c r="N14" s="2"/>
    </x:row>
    <x:row r="15" ht="21" hidden="0" customHeight="1">
      <x:c r="A15" s="90"/>
      <x:c r="B15" s="106"/>
      <x:c r="C15" s="106"/>
      <x:c r="D15" s="106"/>
      <x:c r="E15" s="106"/>
      <x:c r="F15" s="106"/>
      <x:c r="G15" s="106"/>
      <x:c r="H15" s="106"/>
      <x:c r="I15" s="106"/>
      <x:c r="J15" s="106"/>
      <x:c r="K15" s="2"/>
      <x:c r="L15" s="2"/>
      <x:c r="M15" s="2"/>
      <x:c r="N15" s="2"/>
    </x:row>
    <x:row r="16" ht="21" hidden="0" customHeight="1">
      <x:c r="A16" s="90"/>
      <x:c r="B16" s="262"/>
      <x:c r="C16" s="262"/>
      <x:c r="D16" s="262"/>
      <x:c r="E16" s="106"/>
      <x:c r="F16" s="106"/>
      <x:c r="G16" s="106"/>
      <x:c r="H16" s="106"/>
      <x:c r="I16" s="106"/>
      <x:c r="J16" s="106"/>
      <x:c r="K16" s="2"/>
      <x:c r="L16" s="2"/>
      <x:c r="M16" s="2"/>
      <x:c r="N16" s="2"/>
    </x:row>
    <x:row r="17" ht="21" hidden="0" customHeight="1">
      <x:c r="A17" s="90"/>
      <x:c r="B17" s="262"/>
      <x:c r="C17" s="262"/>
      <x:c r="D17" s="262"/>
      <x:c r="E17" s="90"/>
      <x:c r="F17" s="90"/>
      <x:c r="G17" s="90"/>
      <x:c r="H17" s="90"/>
      <x:c r="I17" s="90"/>
      <x:c r="J17" s="90"/>
      <x:c r="K17" s="2"/>
      <x:c r="L17" s="2"/>
      <x:c r="M17" s="2"/>
      <x:c r="N17" s="2"/>
    </x:row>
    <x:row r="18" ht="21" hidden="0" customHeight="1">
      <x:c r="A18" s="90"/>
      <x:c r="B18" s="262"/>
      <x:c r="C18" s="262"/>
      <x:c r="D18" s="262"/>
      <x:c r="E18" s="90"/>
      <x:c r="F18" s="90"/>
      <x:c r="G18" s="90"/>
      <x:c r="H18" s="90"/>
      <x:c r="I18" s="90"/>
      <x:c r="J18" s="90"/>
      <x:c r="K18" s="2"/>
      <x:c r="L18" s="2"/>
      <x:c r="M18" s="2"/>
      <x:c r="N18" s="2"/>
    </x:row>
    <x:row r="19" ht="21" hidden="0" customHeight="1">
      <x:c r="A19" s="90"/>
      <x:c r="B19" s="262" t="str">
        <x:v>2. Valuation Summary: compare DCF, selected trading multiples and the buyer price ceiling.</x:v>
      </x:c>
      <x:c r="C19" s="262"/>
      <x:c r="D19" s="262"/>
      <x:c r="E19" s="106"/>
      <x:c r="F19" s="106"/>
      <x:c r="G19" s="106"/>
      <x:c r="H19" s="106"/>
      <x:c r="I19" s="106"/>
      <x:c r="J19" s="106"/>
      <x:c r="K19" s="2"/>
      <x:c r="L19" s="2"/>
      <x:c r="M19" s="2"/>
      <x:c r="N19" s="2"/>
    </x:row>
    <x:row r="20" ht="21" hidden="0" customHeight="1">
      <x:c r="A20" s="90"/>
      <x:c r="B20" s="106"/>
      <x:c r="C20" s="106"/>
      <x:c r="D20" s="106"/>
      <x:c r="E20" s="106"/>
      <x:c r="F20" s="106"/>
      <x:c r="G20" s="106"/>
      <x:c r="H20" s="106"/>
      <x:c r="I20" s="106"/>
      <x:c r="J20" s="106"/>
      <x:c r="K20" s="2"/>
      <x:c r="L20" s="2"/>
      <x:c r="M20" s="2"/>
      <x:c r="N20" s="2"/>
    </x:row>
    <x:row r="21" ht="21" hidden="0" customHeight="1">
      <x:c r="A21" s="90"/>
      <x:c r="B21" s="240"/>
      <x:c r="C21" s="106"/>
      <x:c r="D21" s="106"/>
      <x:c r="E21" s="106"/>
      <x:c r="F21" s="106"/>
      <x:c r="G21" s="106"/>
      <x:c r="H21" s="106"/>
      <x:c r="I21" s="106"/>
      <x:c r="J21" s="106"/>
      <x:c r="K21" s="2"/>
      <x:c r="L21" s="2"/>
      <x:c r="M21" s="2"/>
      <x:c r="N21" s="2"/>
    </x:row>
    <x:row r="22" ht="21" hidden="0" customHeight="1">
      <x:c r="A22" s="90"/>
      <x:c r="B22" s="110"/>
      <x:c r="C22" s="90"/>
      <x:c r="D22" s="90"/>
      <x:c r="E22" s="90"/>
      <x:c r="F22" s="90"/>
      <x:c r="G22" s="90"/>
      <x:c r="H22" s="90"/>
      <x:c r="I22" s="90"/>
      <x:c r="J22" s="90"/>
      <x:c r="K22" s="2"/>
      <x:c r="L22" s="2"/>
      <x:c r="M22" s="2"/>
      <x:c r="N22" s="2"/>
    </x:row>
    <x:row r="23" ht="21" hidden="0" customHeight="1">
      <x:c r="A23" s="90"/>
      <x:c r="B23" s="110"/>
      <x:c r="C23" s="90"/>
      <x:c r="D23" s="90"/>
      <x:c r="E23" s="90"/>
      <x:c r="F23" s="90"/>
      <x:c r="G23" s="90"/>
      <x:c r="H23" s="90"/>
      <x:c r="I23" s="90"/>
      <x:c r="J23" s="90"/>
      <x:c r="K23" s="2"/>
      <x:c r="L23" s="2"/>
      <x:c r="M23" s="2"/>
      <x:c r="N23" s="2"/>
    </x:row>
    <x:row r="24" ht="21" hidden="0" customHeight="1">
      <x:c r="A24" s="90"/>
      <x:c r="B24" s="240" t="str">
        <x:v>3. Portfolio &amp; Divestiture and Source Inputs: follow the continuing-operations and capital bridges.</x:v>
      </x:c>
      <x:c r="C24" s="106"/>
      <x:c r="D24" s="106"/>
      <x:c r="E24" s="106"/>
      <x:c r="F24" s="106"/>
      <x:c r="G24" s="106"/>
      <x:c r="H24" s="106"/>
      <x:c r="I24" s="106"/>
      <x:c r="J24" s="106"/>
      <x:c r="K24" s="2"/>
      <x:c r="L24" s="2"/>
      <x:c r="M24" s="2"/>
      <x:c r="N24" s="2"/>
    </x:row>
    <x:row r="25" ht="21" hidden="0" customHeight="1">
      <x:c r="A25" s="90"/>
      <x:c r="B25" s="106"/>
      <x:c r="C25" s="106"/>
      <x:c r="D25" s="106"/>
      <x:c r="E25" s="106"/>
      <x:c r="F25" s="106"/>
      <x:c r="G25" s="106"/>
      <x:c r="H25" s="106"/>
      <x:c r="I25" s="106"/>
      <x:c r="J25" s="106"/>
      <x:c r="K25" s="2"/>
      <x:c r="L25" s="2"/>
      <x:c r="M25" s="2"/>
      <x:c r="N25" s="2"/>
    </x:row>
    <x:row r="26" ht="21" hidden="0" customHeight="1">
      <x:c r="A26" s="90"/>
      <x:c r="B26" s="106"/>
      <x:c r="C26" s="106"/>
      <x:c r="D26" s="106"/>
      <x:c r="E26" s="106"/>
      <x:c r="F26" s="106"/>
      <x:c r="G26" s="106"/>
      <x:c r="H26" s="106"/>
      <x:c r="I26" s="106"/>
      <x:c r="J26" s="106"/>
      <x:c r="K26" s="2"/>
      <x:c r="L26" s="2"/>
      <x:c r="M26" s="2"/>
      <x:c r="N26" s="2"/>
    </x:row>
    <x:row r="27" ht="21" hidden="0" customHeight="1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2"/>
      <x:c r="L27" s="2"/>
      <x:c r="M27" s="2"/>
      <x:c r="N27" s="2"/>
    </x:row>
    <x:row r="28" ht="21" hidden="0" customHeight="1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2"/>
      <x:c r="L28" s="2"/>
      <x:c r="M28" s="2"/>
      <x:c r="N28" s="2"/>
    </x:row>
    <x:row r="29" ht="21" hidden="0" customHeight="1">
      <x:c r="A29" s="90"/>
      <x:c r="B29" s="106" t="str">
        <x:v>4. Operating Forecast and Checks: trace earnings, debt, cash and the downside case.</x:v>
      </x:c>
      <x:c r="C29" s="106"/>
      <x:c r="D29" s="106"/>
      <x:c r="E29" s="106"/>
      <x:c r="F29" s="106"/>
      <x:c r="G29" s="106"/>
      <x:c r="H29" s="106"/>
      <x:c r="I29" s="106"/>
      <x:c r="J29" s="106"/>
      <x:c r="K29" s="2"/>
      <x:c r="L29" s="2"/>
      <x:c r="M29" s="2"/>
      <x:c r="N29" s="2"/>
    </x:row>
    <x:row r="30" ht="21" hidden="0" customHeight="1">
      <x:c r="A30" s="90"/>
      <x:c r="B30" s="106"/>
      <x:c r="C30" s="106"/>
      <x:c r="D30" s="106"/>
      <x:c r="E30" s="106"/>
      <x:c r="F30" s="106"/>
      <x:c r="G30" s="106"/>
      <x:c r="H30" s="106"/>
      <x:c r="I30" s="106"/>
      <x:c r="J30" s="106"/>
      <x:c r="K30" s="2"/>
      <x:c r="L30" s="2"/>
      <x:c r="M30" s="2"/>
      <x:c r="N30" s="2"/>
    </x:row>
    <x:row r="31" ht="21" hidden="0" customHeight="1">
      <x:c r="A31" s="90"/>
      <x:c r="B31" s="106"/>
      <x:c r="C31" s="106"/>
      <x:c r="D31" s="106"/>
      <x:c r="E31" s="106"/>
      <x:c r="F31" s="106"/>
      <x:c r="G31" s="106"/>
      <x:c r="H31" s="106"/>
      <x:c r="I31" s="106"/>
      <x:c r="J31" s="106"/>
      <x:c r="K31" s="2"/>
      <x:c r="L31" s="2"/>
      <x:c r="M31" s="2"/>
      <x:c r="N31" s="2"/>
    </x:row>
    <x:row r="32" ht="21" hidden="0" customHeight="1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2"/>
      <x:c r="L32" s="2"/>
      <x:c r="M32" s="2"/>
      <x:c r="N32" s="2"/>
    </x:row>
    <x:row r="33" ht="21" hidden="0" customHeight="1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2"/>
      <x:c r="L33" s="2"/>
      <x:c r="M33" s="2"/>
      <x:c r="N33" s="2"/>
    </x:row>
    <x:row r="34" ht="21" hidden="0" customHeight="1">
      <x:c r="A34" s="90"/>
      <x:c r="B34" s="106" t="str">
        <x:v>Blue = editable input; green = linked calculation; black = calculation or reported data. US$ millions except shares, per-share amounts and ratios.</x:v>
      </x:c>
      <x:c r="C34" s="106"/>
      <x:c r="D34" s="106"/>
      <x:c r="E34" s="106"/>
      <x:c r="F34" s="106"/>
      <x:c r="G34" s="106"/>
      <x:c r="H34" s="106"/>
      <x:c r="I34" s="106"/>
      <x:c r="J34" s="106"/>
      <x:c r="K34" s="2"/>
      <x:c r="L34" s="2"/>
      <x:c r="M34" s="2"/>
      <x:c r="N34" s="2"/>
    </x:row>
    <x:row r="35" ht="21" hidden="0" customHeight="1">
      <x:c r="A35" s="90"/>
      <x:c r="B35" s="106"/>
      <x:c r="C35" s="106"/>
      <x:c r="D35" s="106"/>
      <x:c r="E35" s="106"/>
      <x:c r="F35" s="106"/>
      <x:c r="G35" s="106"/>
      <x:c r="H35" s="106"/>
      <x:c r="I35" s="106"/>
      <x:c r="J35" s="106"/>
      <x:c r="K35" s="2"/>
      <x:c r="L35" s="2"/>
      <x:c r="M35" s="2"/>
      <x:c r="N35" s="2"/>
    </x:row>
    <x:row r="36" ht="21" hidden="0" customHeight="1">
      <x:c r="A36" s="90"/>
      <x:c r="B36" s="106"/>
      <x:c r="C36" s="106"/>
      <x:c r="D36" s="106"/>
      <x:c r="E36" s="106"/>
      <x:c r="F36" s="106"/>
      <x:c r="G36" s="106"/>
      <x:c r="H36" s="106"/>
      <x:c r="I36" s="106"/>
      <x:c r="J36" s="106"/>
      <x:c r="K36" s="2"/>
      <x:c r="L36" s="2"/>
      <x:c r="M36" s="2"/>
      <x:c r="N36" s="2"/>
    </x:row>
    <x:row r="37" ht="21" hidden="0" customHeight="1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2"/>
      <x:c r="L37" s="2"/>
      <x:c r="M37" s="2"/>
      <x:c r="N37" s="2"/>
    </x:row>
    <x:row r="38" ht="21" hidden="0" customHeight="1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2"/>
      <x:c r="L38" s="2"/>
      <x:c r="M38" s="2"/>
      <x:c r="N38" s="2"/>
    </x:row>
    <x:row r="39" ht="21" hidden="0" customHeight="1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2"/>
      <x:c r="L39" s="2"/>
      <x:c r="M39" s="2"/>
      <x:c r="N39" s="2"/>
    </x:row>
    <x:row r="40" ht="21" hidden="0" customHeight="1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2"/>
      <x:c r="L40" s="2"/>
      <x:c r="M40" s="2"/>
      <x:c r="N40" s="2"/>
    </x:row>
    <x:row r="41" ht="21" hidden="0" customHeight="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2"/>
      <x:c r="L41" s="2"/>
      <x:c r="M41" s="2"/>
      <x:c r="N41" s="2"/>
    </x:row>
    <x:row r="42" ht="21" hidden="0" customHeight="1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2"/>
      <x:c r="L42" s="2"/>
      <x:c r="M42" s="2"/>
      <x:c r="N42" s="2"/>
    </x:row>
    <x:row r="43" ht="21" hidden="0" customHeight="1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2"/>
      <x:c r="L43" s="2"/>
      <x:c r="M43" s="2"/>
      <x:c r="N43" s="2"/>
    </x:row>
    <x:row r="44" ht="15" hidden="0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15" hidden="0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 ht="15" hidden="0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 ht="15" hidden="0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 ht="15" hidden="0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 ht="15" hidden="0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 ht="15" hidden="0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 ht="15" hidden="0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 ht="15" hidden="0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 ht="15" hidden="0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 ht="15" hidden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 ht="15" hidden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 ht="15" hidden="0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 ht="15" hidden="0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 ht="15" hidden="0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 ht="15" hidden="0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 ht="15" hidden="0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 ht="15" hidden="0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 ht="15" hidden="0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 ht="15" hidden="0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 ht="15" hidden="0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 ht="15" hidden="0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 ht="15" hidden="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 ht="15" hidden="0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 ht="15" hidden="0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 ht="15" hidden="0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 ht="15" hidden="0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 ht="15" hidden="0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 ht="15" hidden="0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 ht="15" hidden="0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 ht="15" hidden="0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 ht="15" hidden="0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 ht="15" hidden="0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 ht="15" hidden="0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 ht="15" hidden="0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 ht="15" hidden="0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 ht="15" hidden="0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 ht="15" hidden="0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 ht="15" hidden="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 ht="15" hidden="0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 ht="15" hidden="0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 ht="15" hidden="0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 ht="15" hidden="0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 ht="15" hidden="0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 ht="15" hidden="0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 ht="15" hidden="0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 ht="15" hidden="0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 ht="15" hidden="0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 ht="15" hidden="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 ht="15" hidden="0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 ht="15" hidden="0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 ht="15" hidden="0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 ht="15" hidden="0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 ht="15" hidden="0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 ht="15" hidden="0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 ht="15" hidden="0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 ht="15" hidden="0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 ht="15" hidden="0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 ht="15" hidden="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  <x:row r="111" ht="15" hidden="0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</x:row>
    <x:row r="112" ht="15" hidden="0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</x:row>
    <x:row r="113" ht="15" hidden="0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</x:row>
    <x:row r="114" ht="15" hidden="0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</x:row>
    <x:row r="115" ht="15" hidden="0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</x:row>
    <x:row r="116" ht="15" hidden="0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</x:row>
    <x:row r="117" ht="15" hidden="0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</x:row>
    <x:row r="118" ht="15" hidden="0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</x:row>
    <x:row r="119" ht="15" hidden="0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</x:row>
    <x:row r="120" ht="15" hidden="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</x:row>
  </x:sheetData>
  <x:mergeCells>
    <x:mergeCell ref="A1:J1"/>
    <x:mergeCell ref="A2:J3"/>
    <x:mergeCell ref="B9:J11"/>
    <x:mergeCell ref="B14:J16"/>
    <x:mergeCell ref="B19:J21"/>
    <x:mergeCell ref="B24:J26"/>
    <x:mergeCell ref="B29:J31"/>
    <x:mergeCell ref="B34:J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6" hidden="0" customWidth="1"/>
    <x:col min="3" max="5" width="13" hidden="0" customWidth="1"/>
    <x:col min="14" max="16" width="1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2" hidden="0" customHeight="1">
      <x:c r="A1" s="133" t="str">
        <x:v>ZIFF DAVIS | VALUATION SUMMARY</x:v>
      </x:c>
      <x:c r="B1" s="133"/>
      <x:c r="C1" s="133"/>
      <x:c r="D1" s="133"/>
      <x:c r="E1" s="133"/>
      <x:c r="F1" s="133"/>
      <x:c r="G1" s="133"/>
      <x:c r="H1" s="133"/>
      <x:c r="I1" s="133"/>
      <x:c r="J1" s="133"/>
      <x:c r="K1" s="1"/>
      <x:c r="L1" s="1"/>
      <x:c r="M1" s="2"/>
      <x:c r="N1" s="2"/>
      <x:c r="O1" s="2"/>
      <x:c r="P1" s="2"/>
      <x:c r="Q1" s="2"/>
      <x:c r="R1" s="2"/>
    </x:row>
    <x:row r="2" ht="21" hidden="0" customHeight="1">
      <x:c r="A2" s="135" t="str">
        <x:v>Standalone value, selected multiples and buyer price ceiling.</x:v>
      </x:c>
      <x:c r="B2" s="135"/>
      <x:c r="C2" s="135"/>
      <x:c r="D2" s="135"/>
      <x:c r="E2" s="135"/>
      <x:c r="F2" s="135"/>
      <x:c r="G2" s="135"/>
      <x:c r="H2" s="135"/>
      <x:c r="I2" s="135"/>
      <x:c r="J2" s="135"/>
      <x:c r="K2" s="3"/>
      <x:c r="L2" s="3"/>
      <x:c r="M2" s="2"/>
      <x:c r="N2" s="2"/>
      <x:c r="O2" s="2"/>
      <x:c r="P2" s="2"/>
      <x:c r="Q2" s="2"/>
      <x:c r="R2" s="2"/>
    </x:row>
    <x:row r="3" ht="21" hidden="0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  <x:c r="K3" s="2"/>
      <x:c r="L3" s="2"/>
      <x:c r="M3" s="2"/>
      <x:c r="N3" s="2"/>
      <x:c r="O3" s="2"/>
      <x:c r="P3" s="2"/>
      <x:c r="Q3" s="2"/>
      <x:c r="R3" s="2"/>
    </x:row>
    <x:row r="4" ht="21" hidden="0" customHeight="1">
      <x:c r="A4" s="110"/>
      <x:c r="B4" s="110"/>
      <x:c r="C4" s="110"/>
      <x:c r="D4" s="110"/>
      <x:c r="E4" s="110"/>
      <x:c r="F4" s="110"/>
      <x:c r="G4" s="110"/>
      <x:c r="H4" s="110"/>
      <x:c r="I4" s="110"/>
      <x:c r="J4" s="110"/>
      <x:c r="K4" s="13"/>
      <x:c r="L4" s="13"/>
      <x:c r="M4" s="2"/>
      <x:c r="N4" s="6"/>
      <x:c r="O4" s="2"/>
      <x:c r="P4" s="2"/>
      <x:c r="Q4" s="2"/>
      <x:c r="R4" s="2"/>
    </x:row>
    <x:row r="5" ht="21" hidden="0" customHeight="1">
      <x:c r="A5" s="90"/>
      <x:c r="B5" s="110" t="str">
        <x:v>Scenario</x:v>
      </x:c>
      <x:c r="C5" s="207" t="str">
        <x:f>'Assumptions'!C6</x:f>
        <x:v>BASE</x:v>
      </x:c>
      <x:c r="D5" s="113"/>
      <x:c r="E5" s="113"/>
      <x:c r="F5" s="90"/>
      <x:c r="G5" s="90"/>
      <x:c r="H5" s="90"/>
      <x:c r="I5" s="90"/>
      <x:c r="J5" s="90"/>
      <x:c r="K5" s="2"/>
      <x:c r="L5" s="2"/>
      <x:c r="M5" s="2"/>
      <x:c r="N5" s="6"/>
      <x:c r="O5" s="14"/>
      <x:c r="P5" s="14"/>
      <x:c r="Q5" s="2"/>
      <x:c r="R5" s="2"/>
    </x:row>
    <x:row r="6" ht="21" hidden="0" customHeight="1">
      <x:c r="A6" s="90"/>
      <x:c r="B6" s="90" t="str">
        <x:v>Calculation status</x:v>
      </x:c>
      <x:c r="C6" s="292" t="str">
        <x:f aca="0">'Checks'!F30</x:f>
        <x:v>PASS</x:v>
      </x:c>
      <x:c r="D6" s="211"/>
      <x:c r="E6" s="185"/>
      <x:c r="F6" s="90"/>
      <x:c r="G6" s="90"/>
      <x:c r="H6" s="90"/>
      <x:c r="I6" s="90"/>
      <x:c r="J6" s="90"/>
      <x:c r="K6" s="2"/>
      <x:c r="L6" s="2"/>
      <x:c r="M6" s="2"/>
      <x:c r="N6" s="7"/>
      <x:c r="O6" s="17"/>
      <x:c r="P6" s="17"/>
      <x:c r="Q6" s="2"/>
      <x:c r="R6" s="2"/>
    </x:row>
    <x:row r="7" ht="21" hidden="0" customHeight="1">
      <x:c r="A7" s="90"/>
      <x:c r="B7" s="90"/>
      <x:c r="C7" s="211"/>
      <x:c r="D7" s="211"/>
      <x:c r="E7" s="185"/>
      <x:c r="F7" s="90"/>
      <x:c r="G7" s="90"/>
      <x:c r="H7" s="90"/>
      <x:c r="I7" s="90"/>
      <x:c r="J7" s="90"/>
      <x:c r="K7" s="2"/>
      <x:c r="L7" s="2"/>
      <x:c r="M7" s="2"/>
      <x:c r="N7" s="7"/>
      <x:c r="O7" s="17"/>
      <x:c r="P7" s="17"/>
      <x:c r="Q7" s="2"/>
      <x:c r="R7" s="2"/>
    </x:row>
    <x:row r="8" ht="21" hidden="0" customHeight="1">
      <x:c r="A8" s="90"/>
      <x:c r="B8" s="90"/>
      <x:c r="C8" s="211"/>
      <x:c r="D8" s="211"/>
      <x:c r="E8" s="185"/>
      <x:c r="F8" s="90"/>
      <x:c r="G8" s="90"/>
      <x:c r="H8" s="90"/>
      <x:c r="I8" s="90"/>
      <x:c r="J8" s="90"/>
      <x:c r="K8" s="2"/>
      <x:c r="L8" s="2"/>
      <x:c r="M8" s="2"/>
      <x:c r="N8" s="7"/>
      <x:c r="O8" s="17"/>
      <x:c r="P8" s="17"/>
      <x:c r="Q8" s="2"/>
      <x:c r="R8" s="2"/>
    </x:row>
    <x:row r="9" ht="21" hidden="0" customHeight="1">
      <x:c r="A9" s="90"/>
      <x:c r="B9" s="90" t="str">
        <x:v>Method</x:v>
      </x:c>
      <x:c r="C9" s="211" t="str">
        <x:v>Low / point</x:v>
      </x:c>
      <x:c r="D9" s="211" t="str">
        <x:v>High / point</x:v>
      </x:c>
      <x:c r="E9" s="185"/>
      <x:c r="F9" s="90" t="str">
        <x:v>Method</x:v>
      </x:c>
      <x:c r="G9" s="90" t="str">
        <x:v>Value / share</x:v>
      </x:c>
      <x:c r="H9" s="90"/>
      <x:c r="I9" s="90"/>
      <x:c r="J9" s="90"/>
      <x:c r="K9" s="2"/>
      <x:c r="L9" s="2"/>
      <x:c r="M9" s="2"/>
      <x:c r="N9" s="7"/>
      <x:c r="O9" s="17"/>
      <x:c r="P9" s="17"/>
      <x:c r="Q9" s="2"/>
      <x:c r="R9" s="2"/>
    </x:row>
    <x:row r="10" ht="21" hidden="0" customHeight="1">
      <x:c r="A10" s="90"/>
      <x:c r="B10" s="90" t="str">
        <x:v>DCF: perpetuity</x:v>
      </x:c>
      <x:c r="C10" s="220" t="n">
        <x:f aca="0">'DCF'!C49</x:f>
        <x:v>72.4175615402114</x:v>
      </x:c>
      <x:c r="D10" s="220" t="n">
        <x:f aca="0">'DCF'!C49</x:f>
        <x:v>72.4175615402114</x:v>
      </x:c>
      <x:c r="E10" s="185"/>
      <x:c r="F10" s="90" t="str">
        <x:v>DCF perpetuity</x:v>
      </x:c>
      <x:c r="G10" s="97" t="n">
        <x:f>C10</x:f>
        <x:v>72.4175615402114</x:v>
      </x:c>
      <x:c r="H10" s="90"/>
      <x:c r="I10" s="90"/>
      <x:c r="J10" s="90"/>
      <x:c r="K10" s="2"/>
      <x:c r="L10" s="2"/>
      <x:c r="M10" s="2"/>
      <x:c r="N10" s="7"/>
      <x:c r="O10" s="17"/>
      <x:c r="P10" s="17"/>
      <x:c r="Q10" s="2"/>
      <x:c r="R10" s="2"/>
    </x:row>
    <x:row r="11" ht="21" hidden="0" customHeight="1">
      <x:c r="A11" s="90"/>
      <x:c r="B11" s="90" t="str">
        <x:v>DCF: exit multiple</x:v>
      </x:c>
      <x:c r="C11" s="220" t="n">
        <x:f>'DCF'!D49</x:f>
        <x:v>74.54540839483701</x:v>
      </x:c>
      <x:c r="D11" s="220" t="n">
        <x:f>'DCF'!D49</x:f>
        <x:v>74.54540839483701</x:v>
      </x:c>
      <x:c r="E11" s="211"/>
      <x:c r="F11" s="90" t="str">
        <x:v>DCF exit</x:v>
      </x:c>
      <x:c r="G11" s="97" t="n">
        <x:f>C11</x:f>
        <x:v>74.54540839483701</x:v>
      </x:c>
      <x:c r="H11" s="90"/>
      <x:c r="I11" s="90"/>
      <x:c r="J11" s="90"/>
      <x:c r="K11" s="2"/>
      <x:c r="L11" s="2"/>
      <x:c r="M11" s="2"/>
      <x:c r="N11" s="2"/>
      <x:c r="O11" s="2"/>
      <x:c r="P11" s="2"/>
      <x:c r="Q11" s="2"/>
      <x:c r="R11" s="2"/>
    </x:row>
    <x:row r="12" ht="21" hidden="0" customHeight="1">
      <x:c r="A12" s="90"/>
      <x:c r="B12" s="90" t="str">
        <x:v>Trading comps: adjusted EBITDA</x:v>
      </x:c>
      <x:c r="C12" s="235" t="n">
        <x:f>'Trading Comps'!C27</x:f>
        <x:v>53.04273469387756</x:v>
      </x:c>
      <x:c r="D12" s="235" t="n">
        <x:f>'Trading Comps'!D27</x:f>
        <x:v>78.4325087463557</x:v>
      </x:c>
      <x:c r="E12" s="90"/>
      <x:c r="F12" s="90" t="str">
        <x:v>Comps midpoint</x:v>
      </x:c>
      <x:c r="G12" s="97" t="n">
        <x:f>(C12+D12)/2</x:f>
        <x:v>65.73762172011664</x:v>
      </x:c>
      <x:c r="H12" s="90"/>
      <x:c r="I12" s="90"/>
      <x:c r="J12" s="90"/>
      <x:c r="K12" s="2"/>
      <x:c r="L12" s="2"/>
      <x:c r="M12" s="2"/>
      <x:c r="N12" s="2"/>
      <x:c r="O12" s="2"/>
      <x:c r="P12" s="2"/>
      <x:c r="Q12" s="2"/>
      <x:c r="R12" s="2"/>
    </x:row>
    <x:row r="13" ht="21" hidden="0" customHeight="1">
      <x:c r="A13" s="90"/>
      <x:c r="B13" s="110"/>
      <x:c r="C13" s="185"/>
      <x:c r="D13" s="90"/>
      <x:c r="E13" s="90"/>
      <x:c r="F13" s="90" t="str">
        <x:v>Buyer ceiling</x:v>
      </x:c>
      <x:c r="G13" s="97" t="n">
        <x:f>C15</x:f>
        <x:v>71.72235545738543</x:v>
      </x:c>
      <x:c r="H13" s="90"/>
      <x:c r="I13" s="90"/>
      <x:c r="J13" s="90"/>
      <x:c r="K13" s="2"/>
      <x:c r="L13" s="2"/>
      <x:c r="M13" s="2"/>
      <x:c r="N13" s="2"/>
      <x:c r="O13" s="2"/>
      <x:c r="P13" s="2"/>
      <x:c r="Q13" s="2"/>
      <x:c r="R13" s="2"/>
    </x:row>
    <x:row r="14" ht="21" hidden="0" customHeight="1">
      <x:c r="A14" s="90"/>
      <x:c r="B14" s="90"/>
      <x:c r="C14" s="90"/>
      <x:c r="D14" s="90"/>
      <x:c r="E14" s="90"/>
      <x:c r="F14" s="90" t="str">
        <x:v>Share price</x:v>
      </x:c>
      <x:c r="G14" s="97" t="n">
        <x:f>C17</x:f>
        <x:v>55.7</x:v>
      </x:c>
      <x:c r="H14" s="90"/>
      <x:c r="I14" s="90"/>
      <x:c r="J14" s="90"/>
      <x:c r="K14" s="2"/>
      <x:c r="L14" s="2"/>
      <x:c r="M14" s="2"/>
      <x:c r="N14" s="2"/>
      <x:c r="O14" s="2"/>
      <x:c r="P14" s="2"/>
      <x:c r="Q14" s="2"/>
      <x:c r="R14" s="2"/>
    </x:row>
    <x:row r="15" ht="21" hidden="0" customHeight="1">
      <x:c r="A15" s="110"/>
      <x:c r="B15" s="110" t="str">
        <x:v>Buyer affordability ceiling</x:v>
      </x:c>
      <x:c r="C15" s="293" t="n">
        <x:f>'Acquisition Returns'!C46</x:f>
        <x:v>71.72235545738543</x:v>
      </x:c>
      <x:c r="D15" s="110"/>
      <x:c r="E15" s="110"/>
      <x:c r="F15" s="110"/>
      <x:c r="G15" s="110"/>
      <x:c r="H15" s="110"/>
      <x:c r="I15" s="110"/>
      <x:c r="J15" s="110"/>
      <x:c r="K15" s="13"/>
      <x:c r="L15" s="13"/>
      <x:c r="M15" s="2"/>
      <x:c r="N15" s="2"/>
      <x:c r="O15" s="2"/>
      <x:c r="P15" s="2"/>
      <x:c r="Q15" s="2"/>
      <x:c r="R15" s="2"/>
    </x:row>
    <x:row r="16" ht="21" hidden="0" customHeight="1">
      <x:c r="A16" s="90"/>
      <x:c r="B16" s="90" t="str">
        <x:v>Assumed offer price</x:v>
      </x:c>
      <x:c r="C16" s="294" t="n">
        <x:f>'Acquisition Returns'!C6</x:f>
        <x:v>69.625</x:v>
      </x:c>
      <x:c r="D16" s="113"/>
      <x:c r="E16" s="90"/>
      <x:c r="F16" s="90"/>
      <x:c r="G16" s="90"/>
      <x:c r="H16" s="90"/>
      <x:c r="I16" s="90"/>
      <x:c r="J16" s="90"/>
      <x:c r="K16" s="2"/>
      <x:c r="L16" s="2"/>
      <x:c r="M16" s="2"/>
      <x:c r="N16" s="2"/>
      <x:c r="O16" s="2"/>
      <x:c r="P16" s="2"/>
      <x:c r="Q16" s="2"/>
      <x:c r="R16" s="2"/>
    </x:row>
    <x:row r="17" ht="21" hidden="0" customHeight="1">
      <x:c r="A17" s="90"/>
      <x:c r="B17" s="90" t="str">
        <x:v>Share-price assumption</x:v>
      </x:c>
      <x:c r="C17" s="220" t="n">
        <x:f aca="0">'Source Inputs'!$C$7</x:f>
        <x:v>55.7</x:v>
      </x:c>
      <x:c r="D17" s="127"/>
      <x:c r="E17" s="90"/>
      <x:c r="F17" s="90"/>
      <x:c r="G17" s="90"/>
      <x:c r="H17" s="90"/>
      <x:c r="I17" s="90"/>
      <x:c r="J17" s="90"/>
      <x:c r="K17" s="2"/>
      <x:c r="L17" s="2"/>
      <x:c r="M17" s="2"/>
      <x:c r="N17" s="2"/>
      <x:c r="O17" s="2"/>
      <x:c r="P17" s="2"/>
      <x:c r="Q17" s="2"/>
      <x:c r="R17" s="2"/>
    </x:row>
    <x:row r="18" ht="21" hidden="0" customHeight="1">
      <x:c r="A18" s="90"/>
      <x:c r="B18" s="90"/>
      <x:c r="C18" s="127"/>
      <x:c r="D18" s="127"/>
      <x:c r="E18" s="90"/>
      <x:c r="F18" s="90"/>
      <x:c r="G18" s="90"/>
      <x:c r="H18" s="90"/>
      <x:c r="I18" s="90"/>
      <x:c r="J18" s="90"/>
      <x:c r="K18" s="2"/>
      <x:c r="L18" s="2"/>
      <x:c r="M18" s="2"/>
      <x:c r="N18" s="2"/>
      <x:c r="O18" s="2"/>
      <x:c r="P18" s="2"/>
      <x:c r="Q18" s="2"/>
      <x:c r="R18" s="2"/>
    </x:row>
    <x:row r="19" ht="21" hidden="0" customHeight="1">
      <x:c r="A19" s="90"/>
      <x:c r="B19" s="90"/>
      <x:c r="C19" s="211"/>
      <x:c r="D19" s="211"/>
      <x:c r="E19" s="90"/>
      <x:c r="F19" s="90"/>
      <x:c r="G19" s="90"/>
      <x:c r="H19" s="90"/>
      <x:c r="I19" s="90"/>
      <x:c r="J19" s="90"/>
      <x:c r="K19" s="2"/>
      <x:c r="L19" s="2"/>
      <x:c r="M19" s="2"/>
      <x:c r="N19" s="2"/>
      <x:c r="O19" s="2"/>
      <x:c r="P19" s="2"/>
      <x:c r="Q19" s="2"/>
      <x:c r="R19" s="2"/>
    </x:row>
    <x:row r="20" ht="21" hidden="0" customHeight="1">
      <x:c r="A20" s="90"/>
      <x:c r="B20" s="90"/>
      <x:c r="C20" s="90"/>
      <x:c r="D20" s="90"/>
      <x:c r="E20" s="90"/>
      <x:c r="F20" s="90"/>
      <x:c r="G20" s="90"/>
      <x:c r="H20" s="90"/>
      <x:c r="I20" s="90"/>
      <x:c r="J20" s="90"/>
      <x:c r="K20" s="2"/>
      <x:c r="L20" s="2"/>
      <x:c r="M20" s="2"/>
      <x:c r="N20" s="2"/>
      <x:c r="O20" s="2"/>
      <x:c r="P20" s="2"/>
      <x:c r="Q20" s="2"/>
      <x:c r="R20" s="2"/>
    </x:row>
    <x:row r="21" ht="21" hidden="0" customHeight="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  <x:c r="K21" s="2"/>
      <x:c r="L21" s="2"/>
      <x:c r="M21" s="2"/>
      <x:c r="N21" s="2"/>
      <x:c r="O21" s="2"/>
      <x:c r="P21" s="2"/>
      <x:c r="Q21" s="2"/>
      <x:c r="R21" s="2"/>
    </x:row>
    <x:row r="22" ht="21" hidden="0" customHeight="1">
      <x:c r="A22" s="90"/>
      <x:c r="B22" s="90"/>
      <x:c r="C22" s="90"/>
      <x:c r="D22" s="90"/>
      <x:c r="E22" s="90"/>
      <x:c r="F22" s="90"/>
      <x:c r="G22" s="90"/>
      <x:c r="H22" s="90"/>
      <x:c r="I22" s="90"/>
      <x:c r="J22" s="90"/>
      <x:c r="K22" s="2"/>
      <x:c r="L22" s="2"/>
      <x:c r="M22" s="2"/>
      <x:c r="N22" s="2"/>
      <x:c r="O22" s="2"/>
      <x:c r="P22" s="2"/>
      <x:c r="Q22" s="2"/>
      <x:c r="R22" s="2"/>
    </x:row>
    <x:row r="23" ht="21" hidden="0" customHeight="1">
      <x:c r="A23" s="90"/>
      <x:c r="B23" s="90"/>
      <x:c r="C23" s="90"/>
      <x:c r="D23" s="90"/>
      <x:c r="E23" s="90"/>
      <x:c r="F23" s="90"/>
      <x:c r="G23" s="90"/>
      <x:c r="H23" s="90"/>
      <x:c r="I23" s="90"/>
      <x:c r="J23" s="90"/>
      <x:c r="K23" s="2"/>
      <x:c r="L23" s="2"/>
      <x:c r="M23" s="2"/>
      <x:c r="N23" s="2"/>
      <x:c r="O23" s="2"/>
      <x:c r="P23" s="2"/>
      <x:c r="Q23" s="2"/>
      <x:c r="R23" s="2"/>
    </x:row>
    <x:row r="24" ht="21" hidden="0" customHeight="1">
      <x:c r="A24" s="90"/>
      <x:c r="B24" s="90"/>
      <x:c r="C24" s="90"/>
      <x:c r="D24" s="90"/>
      <x:c r="E24" s="90"/>
      <x:c r="F24" s="90"/>
      <x:c r="G24" s="90"/>
      <x:c r="H24" s="90"/>
      <x:c r="I24" s="90"/>
      <x:c r="J24" s="90"/>
      <x:c r="K24" s="2"/>
      <x:c r="L24" s="2"/>
      <x:c r="M24" s="2"/>
      <x:c r="N24" s="2"/>
      <x:c r="O24" s="2"/>
      <x:c r="P24" s="2"/>
      <x:c r="Q24" s="2"/>
      <x:c r="R24" s="2"/>
    </x:row>
    <x:row r="25" ht="21" hidden="0" customHeight="1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  <x:c r="K25" s="2"/>
      <x:c r="L25" s="2"/>
      <x:c r="M25" s="2"/>
      <x:c r="N25" s="2"/>
      <x:c r="O25" s="2"/>
      <x:c r="P25" s="2"/>
      <x:c r="Q25" s="2"/>
      <x:c r="R25" s="2"/>
    </x:row>
    <x:row r="26" ht="21" hidden="0" customHeight="1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  <x:c r="K26" s="2"/>
      <x:c r="L26" s="2"/>
      <x:c r="M26" s="2"/>
      <x:c r="N26" s="2"/>
      <x:c r="O26" s="2"/>
      <x:c r="P26" s="2"/>
      <x:c r="Q26" s="2"/>
      <x:c r="R26" s="2"/>
    </x:row>
    <x:row r="27" ht="21" hidden="0" customHeight="1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2"/>
      <x:c r="L27" s="2"/>
      <x:c r="M27" s="2"/>
      <x:c r="N27" s="2"/>
      <x:c r="O27" s="2"/>
      <x:c r="P27" s="2"/>
      <x:c r="Q27" s="2"/>
      <x:c r="R27" s="2"/>
    </x:row>
    <x:row r="28" ht="21" hidden="0" customHeight="1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2"/>
      <x:c r="L28" s="2"/>
      <x:c r="M28" s="2"/>
      <x:c r="N28" s="2"/>
      <x:c r="O28" s="2"/>
      <x:c r="P28" s="2"/>
      <x:c r="Q28" s="2"/>
      <x:c r="R28" s="2"/>
    </x:row>
    <x:row r="29" ht="21" hidden="0" customHeight="1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2"/>
      <x:c r="L29" s="2"/>
      <x:c r="M29" s="2"/>
      <x:c r="N29" s="2"/>
      <x:c r="O29" s="2"/>
      <x:c r="P29" s="2"/>
      <x:c r="Q29" s="2"/>
      <x:c r="R29" s="2"/>
    </x:row>
    <x:row r="30" ht="21" hidden="0" customHeight="1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2"/>
      <x:c r="L30" s="2"/>
      <x:c r="M30" s="2"/>
      <x:c r="N30" s="2"/>
      <x:c r="O30" s="2"/>
      <x:c r="P30" s="2"/>
      <x:c r="Q30" s="2"/>
      <x:c r="R30" s="2"/>
    </x:row>
    <x:row r="31" ht="21" hidden="0" customHeight="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  <x:c r="K31" s="2"/>
      <x:c r="L31" s="2"/>
      <x:c r="M31" s="2"/>
      <x:c r="N31" s="2"/>
      <x:c r="O31" s="2"/>
      <x:c r="P31" s="2"/>
      <x:c r="Q31" s="2"/>
      <x:c r="R31" s="2"/>
    </x:row>
    <x:row r="32" ht="21" hidden="0" customHeight="1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2"/>
      <x:c r="L32" s="2"/>
      <x:c r="M32" s="2"/>
      <x:c r="N32" s="2"/>
      <x:c r="O32" s="2"/>
      <x:c r="P32" s="2"/>
      <x:c r="Q32" s="2"/>
      <x:c r="R32" s="2"/>
    </x:row>
    <x:row r="33" ht="21" hidden="0" customHeight="1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2"/>
      <x:c r="L33" s="2"/>
      <x:c r="M33" s="2"/>
      <x:c r="N33" s="2"/>
      <x:c r="O33" s="2"/>
      <x:c r="P33" s="2"/>
      <x:c r="Q33" s="2"/>
      <x:c r="R33" s="2"/>
    </x:row>
    <x:row r="34" ht="21" hidden="0" customHeight="1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2"/>
      <x:c r="L34" s="2"/>
      <x:c r="M34" s="2"/>
      <x:c r="N34" s="2"/>
      <x:c r="O34" s="2"/>
      <x:c r="P34" s="2"/>
      <x:c r="Q34" s="2"/>
      <x:c r="R34" s="2"/>
    </x:row>
    <x:row r="35" ht="21" hidden="0" customHeight="1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2"/>
      <x:c r="L35" s="2"/>
      <x:c r="M35" s="2"/>
      <x:c r="N35" s="2"/>
      <x:c r="O35" s="2"/>
      <x:c r="P35" s="2"/>
      <x:c r="Q35" s="2"/>
      <x:c r="R35" s="2"/>
    </x:row>
    <x:row r="36" ht="21" hidden="0" customHeight="1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2"/>
      <x:c r="L36" s="2"/>
      <x:c r="M36" s="2"/>
      <x:c r="N36" s="2"/>
      <x:c r="O36" s="2"/>
      <x:c r="P36" s="2"/>
      <x:c r="Q36" s="2"/>
      <x:c r="R36" s="2"/>
    </x:row>
    <x:row r="37" ht="21" hidden="0" customHeight="1">
      <x:c r="A37" s="90"/>
      <x:c r="B37" s="252"/>
      <x:c r="C37" s="252"/>
      <x:c r="D37" s="252"/>
      <x:c r="E37" s="252"/>
      <x:c r="F37" s="90"/>
      <x:c r="G37" s="90"/>
      <x:c r="H37" s="90"/>
      <x:c r="I37" s="90"/>
      <x:c r="J37" s="90"/>
      <x:c r="K37" s="2"/>
      <x:c r="L37" s="2"/>
      <x:c r="M37" s="2"/>
      <x:c r="N37" s="2"/>
      <x:c r="O37" s="2"/>
      <x:c r="P37" s="2"/>
      <x:c r="Q37" s="2"/>
      <x:c r="R37" s="2"/>
    </x:row>
    <x:row r="38" ht="21" hidden="0" customHeight="1">
      <x:c r="A38" s="90"/>
      <x:c r="B38" s="252"/>
      <x:c r="C38" s="252"/>
      <x:c r="D38" s="252"/>
      <x:c r="E38" s="252"/>
      <x:c r="F38" s="90"/>
      <x:c r="G38" s="90"/>
      <x:c r="H38" s="90"/>
      <x:c r="I38" s="90"/>
      <x:c r="J38" s="90"/>
      <x:c r="K38" s="2"/>
      <x:c r="L38" s="2"/>
      <x:c r="M38" s="2"/>
      <x:c r="N38" s="2"/>
      <x:c r="O38" s="2"/>
      <x:c r="P38" s="2"/>
      <x:c r="Q38" s="2"/>
      <x:c r="R38" s="2"/>
    </x:row>
    <x:row r="39" ht="21" hidden="0" customHeight="1">
      <x:c r="A39" s="90"/>
      <x:c r="B39" s="252"/>
      <x:c r="C39" s="252"/>
      <x:c r="D39" s="252"/>
      <x:c r="E39" s="252"/>
      <x:c r="F39" s="90"/>
      <x:c r="G39" s="90"/>
      <x:c r="H39" s="90"/>
      <x:c r="I39" s="90"/>
      <x:c r="J39" s="90"/>
      <x:c r="K39" s="2"/>
      <x:c r="L39" s="2"/>
      <x:c r="M39" s="2"/>
      <x:c r="N39" s="2"/>
      <x:c r="O39" s="2"/>
      <x:c r="P39" s="2"/>
      <x:c r="Q39" s="2"/>
      <x:c r="R39" s="2"/>
    </x:row>
    <x:row r="40" ht="21" hidden="0" customHeight="1">
      <x:c r="A40" s="90"/>
      <x:c r="B40" s="252" t="str">
        <x:v>Separate repeatable earnings from acquisition add-backs and the Connectivity sale gain. The remaining business must sustain its audiences, advertisers and cash conversion. Excess cash is valuable only after tax and operating needs.</x:v>
      </x:c>
      <x:c r="C40" s="252"/>
      <x:c r="D40" s="252"/>
      <x:c r="E40" s="252"/>
      <x:c r="F40" s="106"/>
      <x:c r="G40" s="106"/>
      <x:c r="H40" s="106"/>
      <x:c r="I40" s="106"/>
      <x:c r="J40" s="106"/>
      <x:c r="K40" s="2"/>
      <x:c r="L40" s="2"/>
      <x:c r="M40" s="2"/>
      <x:c r="N40" s="2"/>
      <x:c r="O40" s="2"/>
      <x:c r="P40" s="2"/>
      <x:c r="Q40" s="2"/>
      <x:c r="R40" s="2"/>
    </x:row>
    <x:row r="41" ht="21" hidden="0" customHeight="1">
      <x:c r="A41" s="90"/>
      <x:c r="B41" s="262"/>
      <x:c r="C41" s="262"/>
      <x:c r="D41" s="262"/>
      <x:c r="E41" s="262"/>
      <x:c r="F41" s="106"/>
      <x:c r="G41" s="106"/>
      <x:c r="H41" s="106"/>
      <x:c r="I41" s="106"/>
      <x:c r="J41" s="106"/>
      <x:c r="K41" s="2"/>
      <x:c r="L41" s="2"/>
      <x:c r="M41" s="2"/>
      <x:c r="N41" s="2"/>
      <x:c r="O41" s="2"/>
      <x:c r="P41" s="2"/>
      <x:c r="Q41" s="2"/>
      <x:c r="R41" s="2"/>
    </x:row>
    <x:row r="42" ht="21" hidden="0" customHeight="1">
      <x:c r="A42" s="90"/>
      <x:c r="B42" s="262"/>
      <x:c r="C42" s="262"/>
      <x:c r="D42" s="262"/>
      <x:c r="E42" s="262"/>
      <x:c r="F42" s="106"/>
      <x:c r="G42" s="106"/>
      <x:c r="H42" s="106"/>
      <x:c r="I42" s="106"/>
      <x:c r="J42" s="106"/>
      <x:c r="K42" s="2"/>
      <x:c r="L42" s="2"/>
      <x:c r="M42" s="2"/>
      <x:c r="N42" s="2"/>
      <x:c r="O42" s="2"/>
      <x:c r="P42" s="2"/>
      <x:c r="Q42" s="2"/>
      <x:c r="R42" s="2"/>
    </x:row>
    <x:row r="43" ht="21" hidden="0" customHeight="1">
      <x:c r="A43" s="90"/>
      <x:c r="B43" s="262"/>
      <x:c r="C43" s="262"/>
      <x:c r="D43" s="262"/>
      <x:c r="E43" s="262"/>
      <x:c r="F43" s="90"/>
      <x:c r="G43" s="90"/>
      <x:c r="H43" s="90"/>
      <x:c r="I43" s="90"/>
      <x:c r="J43" s="90"/>
      <x:c r="K43" s="2"/>
      <x:c r="L43" s="2"/>
      <x:c r="M43" s="2"/>
      <x:c r="N43" s="2"/>
      <x:c r="O43" s="2"/>
      <x:c r="P43" s="2"/>
      <x:c r="Q43" s="2"/>
      <x:c r="R43" s="2"/>
    </x:row>
    <x:row r="44" ht="21" hidden="0" customHeight="1">
      <x:c r="A44" s="90"/>
      <x:c r="B44" s="262"/>
      <x:c r="C44" s="262"/>
      <x:c r="D44" s="262"/>
      <x:c r="E44" s="262"/>
      <x:c r="F44" s="90"/>
      <x:c r="G44" s="90"/>
      <x:c r="H44" s="90"/>
      <x:c r="I44" s="90"/>
      <x:c r="J44" s="90"/>
      <x:c r="K44" s="2"/>
      <x:c r="L44" s="2"/>
      <x:c r="M44" s="2"/>
      <x:c r="N44" s="2"/>
      <x:c r="O44" s="2"/>
      <x:c r="P44" s="2"/>
      <x:c r="Q44" s="2"/>
      <x:c r="R44" s="2"/>
    </x:row>
    <x:row r="45" ht="21" hidden="0" customHeight="1">
      <x:c r="A45" s="90"/>
      <x:c r="B45" s="106" t="str">
        <x:v>The buyer ceiling shows affordability at the required return. Keep buyer-created synergies separate and test the downside before negotiating.</x:v>
      </x:c>
      <x:c r="C45" s="106"/>
      <x:c r="D45" s="106"/>
      <x:c r="E45" s="106"/>
      <x:c r="F45" s="106"/>
      <x:c r="G45" s="106"/>
      <x:c r="H45" s="106"/>
      <x:c r="I45" s="106"/>
      <x:c r="J45" s="106"/>
      <x:c r="K45" s="2"/>
      <x:c r="L45" s="2"/>
      <x:c r="M45" s="2"/>
      <x:c r="N45" s="2"/>
      <x:c r="O45" s="2"/>
      <x:c r="P45" s="2"/>
      <x:c r="Q45" s="2"/>
      <x:c r="R45" s="2"/>
    </x:row>
    <x:row r="46" ht="21" hidden="0" customHeight="1">
      <x:c r="A46" s="90"/>
      <x:c r="B46" s="106"/>
      <x:c r="C46" s="106"/>
      <x:c r="D46" s="106"/>
      <x:c r="E46" s="106"/>
      <x:c r="F46" s="106"/>
      <x:c r="G46" s="106"/>
      <x:c r="H46" s="106"/>
      <x:c r="I46" s="106"/>
      <x:c r="J46" s="106"/>
      <x:c r="K46" s="2"/>
      <x:c r="L46" s="2"/>
      <x:c r="M46" s="2"/>
      <x:c r="N46" s="2"/>
      <x:c r="O46" s="2"/>
      <x:c r="P46" s="2"/>
      <x:c r="Q46" s="2"/>
      <x:c r="R46" s="2"/>
    </x:row>
    <x:row r="47" ht="21" hidden="0" customHeight="1">
      <x:c r="A47" s="90"/>
      <x:c r="B47" s="106"/>
      <x:c r="C47" s="106"/>
      <x:c r="D47" s="106"/>
      <x:c r="E47" s="106"/>
      <x:c r="F47" s="106"/>
      <x:c r="G47" s="106"/>
      <x:c r="H47" s="106"/>
      <x:c r="I47" s="106"/>
      <x:c r="J47" s="106"/>
      <x:c r="K47" s="2"/>
      <x:c r="L47" s="2"/>
      <x:c r="M47" s="2"/>
      <x:c r="N47" s="2"/>
      <x:c r="O47" s="2"/>
      <x:c r="P47" s="2"/>
      <x:c r="Q47" s="2"/>
      <x:c r="R47" s="2"/>
    </x:row>
    <x:row r="48" ht="21" hidden="0" customHeight="1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2"/>
      <x:c r="L48" s="2"/>
      <x:c r="M48" s="2"/>
      <x:c r="N48" s="2"/>
      <x:c r="O48" s="2"/>
      <x:c r="P48" s="2"/>
      <x:c r="Q48" s="2"/>
      <x:c r="R48" s="2"/>
    </x:row>
    <x:row r="49" ht="21" hidden="0" customHeight="1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2"/>
      <x:c r="L49" s="2"/>
      <x:c r="M49" s="2"/>
      <x:c r="N49" s="2"/>
      <x:c r="O49" s="2"/>
      <x:c r="P49" s="2"/>
      <x:c r="Q49" s="2"/>
      <x:c r="R49" s="2"/>
    </x:row>
    <x:row r="50" ht="21" hidden="0" customHeight="1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2"/>
      <x:c r="L50" s="2"/>
      <x:c r="M50" s="2"/>
      <x:c r="N50" s="2"/>
      <x:c r="O50" s="2"/>
      <x:c r="P50" s="2"/>
      <x:c r="Q50" s="2"/>
      <x:c r="R50" s="2"/>
    </x:row>
    <x:row r="51" ht="21" hidden="0" customHeight="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2"/>
      <x:c r="L51" s="2"/>
      <x:c r="M51" s="2"/>
      <x:c r="N51" s="2"/>
      <x:c r="O51" s="2"/>
      <x:c r="P51" s="2"/>
      <x:c r="Q51" s="2"/>
      <x:c r="R51" s="2"/>
    </x:row>
    <x:row r="52" ht="21" hidden="0" customHeight="1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2"/>
      <x:c r="L52" s="2"/>
      <x:c r="M52" s="2"/>
      <x:c r="N52" s="2"/>
      <x:c r="O52" s="2"/>
      <x:c r="P52" s="2"/>
      <x:c r="Q52" s="2"/>
      <x:c r="R52" s="2"/>
    </x:row>
    <x:row r="53" ht="21" hidden="0" customHeight="1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2"/>
      <x:c r="L53" s="2"/>
      <x:c r="M53" s="2"/>
      <x:c r="N53" s="2"/>
      <x:c r="O53" s="2"/>
      <x:c r="P53" s="2"/>
      <x:c r="Q53" s="2"/>
      <x:c r="R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15" hidden="0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15" hidden="0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15" hidden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15" hidden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15" hidden="0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15" hidden="0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15" hidden="0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15" hidden="0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15" hidden="0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15" hidden="0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15" hidden="0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15" hidden="0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15" hidden="0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15" hidden="0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15" hidden="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  <x:row r="71" ht="15" hidden="0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</x:row>
    <x:row r="72" ht="15" hidden="0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</x:row>
    <x:row r="73" ht="15" hidden="0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</x:row>
    <x:row r="74" ht="15" hidden="0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</x:row>
    <x:row r="75" ht="15" hidden="0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</x:row>
    <x:row r="76" ht="15" hidden="0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</x:row>
  </x:sheetData>
  <x:mergeCells>
    <x:mergeCell ref="A1:J1"/>
    <x:mergeCell ref="A2:J3"/>
    <x:mergeCell ref="B40:J42"/>
    <x:mergeCell ref="B45:J47"/>
  </x:mergeCells>
  <x:pageMargins left="0.7" right="0.7" top="0.75" bottom="0.75" header="0.3" footer="0.3"/>
  <x:drawing xmlns:r="http://schemas.openxmlformats.org/officeDocument/2006/relationships" r:id="R4da1f806c7c142c1"/>
</x:worksheet>
</file>

<file path=xl/worksheets/sheet3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6" hidden="0" customWidth="1"/>
    <x:col min="3" max="6" width="13" hidden="0" customWidth="1"/>
    <x:col min="8" max="8" width="1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9" max="9" width="12" hidden="0" customWidth="1"/>
    <x:col min="10" max="10" width="12" hidden="0" customWidth="1"/>
  </x:cols>
  <x:sheetData>
    <x:row r="1" ht="32" hidden="0" customHeight="1">
      <x:c r="A1" s="133" t="str">
        <x:v>ASSUMPTIONS | CHANGE THE DRIVERS</x:v>
      </x:c>
      <x:c r="B1" s="133"/>
      <x:c r="C1" s="133"/>
      <x:c r="D1" s="133"/>
      <x:c r="E1" s="133"/>
      <x:c r="F1" s="133"/>
      <x:c r="G1" s="133"/>
      <x:c r="H1" s="133"/>
      <x:c r="I1" s="92"/>
      <x:c r="J1" s="92"/>
    </x:row>
    <x:row r="2" ht="21" hidden="0" customHeight="1">
      <x:c r="A2" s="135" t="str">
        <x:v>Blue cells are editable. Continuing operations exclude the Connectivity business.</x:v>
      </x:c>
      <x:c r="B2" s="135"/>
      <x:c r="C2" s="135"/>
      <x:c r="D2" s="135"/>
      <x:c r="E2" s="135"/>
      <x:c r="F2" s="135"/>
      <x:c r="G2" s="135"/>
      <x:c r="H2" s="135"/>
      <x:c r="I2" s="94"/>
      <x:c r="J2" s="94"/>
    </x:row>
    <x:row r="3" ht="21" hidden="0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</x:row>
    <x:row r="4" ht="21" hidden="0" customHeight="1">
      <x:c r="A4" s="110"/>
      <x:c r="B4" s="110"/>
      <x:c r="C4" s="110"/>
      <x:c r="D4" s="110"/>
      <x:c r="E4" s="110"/>
      <x:c r="F4" s="110"/>
      <x:c r="G4" s="110"/>
      <x:c r="H4" s="110"/>
      <x:c r="I4" s="90"/>
      <x:c r="J4" s="90"/>
    </x:row>
    <x:row r="5" ht="21" hidden="0" customHeight="1">
      <x:c r="A5" s="90"/>
      <x:c r="B5" s="110" t="str">
        <x:v>Scenario: 1 Base / 2 Upside / 3 Downside</x:v>
      </x:c>
      <x:c r="C5" s="136" t="n">
        <x:v>1</x:v>
      </x:c>
      <x:c r="D5" s="90"/>
      <x:c r="E5" s="90"/>
      <x:c r="F5" s="90"/>
      <x:c r="G5" s="90"/>
      <x:c r="H5" s="90"/>
      <x:c r="I5" s="90"/>
      <x:c r="J5" s="90"/>
    </x:row>
    <x:row r="6" ht="21" hidden="0" customHeight="1">
      <x:c r="A6" s="90"/>
      <x:c r="B6" s="90" t="str">
        <x:v>Active scenario</x:v>
      </x:c>
      <x:c r="C6" s="113" t="str">
        <x:f aca="0">CHOOSE(C5,"BASE","UPSIDE","DOWNSIDE")</x:f>
        <x:v>BASE</x:v>
      </x:c>
      <x:c r="D6" s="90"/>
      <x:c r="E6" s="90"/>
      <x:c r="F6" s="90"/>
      <x:c r="G6" s="90"/>
      <x:c r="H6" s="90"/>
      <x:c r="I6" s="90"/>
      <x:c r="J6" s="90"/>
    </x:row>
    <x:row r="7" ht="21" hidden="0" customHeight="1">
      <x:c r="A7" s="90"/>
      <x:c r="B7" s="90"/>
      <x:c r="C7" s="90"/>
      <x:c r="D7" s="90"/>
      <x:c r="E7" s="90"/>
      <x:c r="F7" s="90"/>
      <x:c r="G7" s="90"/>
      <x:c r="H7" s="90"/>
      <x:c r="I7" s="90"/>
      <x:c r="J7" s="90"/>
    </x:row>
    <x:row r="8" ht="21" hidden="0" customHeight="1">
      <x:c r="A8" s="110"/>
      <x:c r="B8" s="110"/>
      <x:c r="C8" s="110" t="str">
        <x:v>Base</x:v>
      </x:c>
      <x:c r="D8" s="110" t="str">
        <x:v>Upside</x:v>
      </x:c>
      <x:c r="E8" s="110" t="str">
        <x:v>Downside</x:v>
      </x:c>
      <x:c r="F8" s="110" t="str">
        <x:v>Active</x:v>
      </x:c>
      <x:c r="G8" s="110"/>
      <x:c r="H8" s="110"/>
      <x:c r="I8" s="90"/>
      <x:c r="J8" s="90"/>
    </x:row>
    <x:row r="9" ht="21" hidden="0" customHeight="1">
      <x:c r="A9" s="90"/>
      <x:c r="B9" s="90"/>
      <x:c r="C9" s="113"/>
      <x:c r="D9" s="113"/>
      <x:c r="E9" s="113"/>
      <x:c r="F9" s="113"/>
      <x:c r="G9" s="90"/>
      <x:c r="H9" s="90"/>
      <x:c r="I9" s="90"/>
      <x:c r="J9" s="90"/>
    </x:row>
    <x:row r="10" ht="21" hidden="0" customHeight="1">
      <x:c r="A10" s="90"/>
      <x:c r="B10" s="90" t="str">
        <x:v>FY2026 revenue planning anchor</x:v>
      </x:c>
      <x:c r="C10" s="139" t="n">
        <x:v>1188.9</x:v>
      </x:c>
      <x:c r="D10" s="139" t="n">
        <x:v>1225</x:v>
      </x:c>
      <x:c r="E10" s="139" t="n">
        <x:v>1130</x:v>
      </x:c>
      <x:c r="F10" s="140" t="n">
        <x:f aca="0">CHOOSE($C$5,C10,D10,E10)</x:f>
        <x:v>1188.9</x:v>
      </x:c>
      <x:c r="G10" s="90"/>
      <x:c r="H10" s="124"/>
      <x:c r="I10" s="90"/>
      <x:c r="J10" s="90"/>
    </x:row>
    <x:row r="11" ht="21" hidden="0" customHeight="1">
      <x:c r="A11" s="90"/>
      <x:c r="B11" s="90" t="str">
        <x:v>Later annual organic growth</x:v>
      </x:c>
      <x:c r="C11" s="143" t="n">
        <x:v>0.02</x:v>
      </x:c>
      <x:c r="D11" s="143" t="n">
        <x:v>0.05</x:v>
      </x:c>
      <x:c r="E11" s="143" t="n">
        <x:v>-0.03</x:v>
      </x:c>
      <x:c r="F11" s="144" t="n">
        <x:f aca="0">CHOOSE($C$5,C11,D11,E11)</x:f>
        <x:v>0.02</x:v>
      </x:c>
      <x:c r="G11" s="90"/>
      <x:c r="H11" s="124"/>
      <x:c r="I11" s="90"/>
      <x:c r="J11" s="90"/>
    </x:row>
    <x:row r="12" ht="21" hidden="0" customHeight="1">
      <x:c r="A12" s="90"/>
      <x:c r="B12" s="90" t="str">
        <x:v>Adjusted EBITDA margin</x:v>
      </x:c>
      <x:c r="C12" s="143" t="n">
        <x:v>0.293</x:v>
      </x:c>
      <x:c r="D12" s="143" t="n">
        <x:v>0.31</x:v>
      </x:c>
      <x:c r="E12" s="143" t="n">
        <x:v>0.27</x:v>
      </x:c>
      <x:c r="F12" s="144" t="n">
        <x:f aca="0">CHOOSE($C$5,C12,D12,E12)</x:f>
        <x:v>0.293</x:v>
      </x:c>
      <x:c r="G12" s="90"/>
      <x:c r="H12" s="124"/>
      <x:c r="I12" s="90"/>
      <x:c r="J12" s="90"/>
    </x:row>
    <x:row r="13" ht="21" hidden="0" customHeight="1">
      <x:c r="A13" s="90"/>
      <x:c r="B13" s="90" t="str">
        <x:v>SBC / revenue</x:v>
      </x:c>
      <x:c r="C13" s="143" t="n">
        <x:v>0.035</x:v>
      </x:c>
      <x:c r="D13" s="143" t="n">
        <x:v>0.032</x:v>
      </x:c>
      <x:c r="E13" s="143" t="n">
        <x:v>0.038</x:v>
      </x:c>
      <x:c r="F13" s="144" t="n">
        <x:f aca="0">CHOOSE($C$5,C13,D13,E13)</x:f>
        <x:v>0.035</x:v>
      </x:c>
      <x:c r="G13" s="90"/>
      <x:c r="H13" s="124"/>
      <x:c r="I13" s="90"/>
      <x:c r="J13" s="90"/>
    </x:row>
    <x:row r="14" ht="21" hidden="0" customHeight="1">
      <x:c r="A14" s="90"/>
      <x:c r="B14" s="90" t="str">
        <x:v>Recurring transaction costs / revenue</x:v>
      </x:c>
      <x:c r="C14" s="143" t="n">
        <x:v>0.015</x:v>
      </x:c>
      <x:c r="D14" s="143" t="n">
        <x:v>0.01</x:v>
      </x:c>
      <x:c r="E14" s="143" t="n">
        <x:v>0.02</x:v>
      </x:c>
      <x:c r="F14" s="144" t="n">
        <x:f aca="0">CHOOSE($C$5,C14,D14,E14)</x:f>
        <x:v>0.015</x:v>
      </x:c>
      <x:c r="G14" s="90"/>
      <x:c r="H14" s="124"/>
      <x:c r="I14" s="90"/>
      <x:c r="J14" s="90"/>
    </x:row>
    <x:row r="15" ht="21" hidden="0" customHeight="1">
      <x:c r="A15" s="90"/>
      <x:c r="B15" s="90" t="str">
        <x:v>PP&amp;E depreciation / revenue</x:v>
      </x:c>
      <x:c r="C15" s="143" t="n">
        <x:v>0.065</x:v>
      </x:c>
      <x:c r="D15" s="143" t="n">
        <x:v>0.06</x:v>
      </x:c>
      <x:c r="E15" s="143" t="n">
        <x:v>0.07</x:v>
      </x:c>
      <x:c r="F15" s="144" t="n">
        <x:f aca="0">CHOOSE($C$5,C15,D15,E15)</x:f>
        <x:v>0.065</x:v>
      </x:c>
      <x:c r="G15" s="90"/>
      <x:c r="H15" s="124"/>
      <x:c r="I15" s="90"/>
      <x:c r="J15" s="90"/>
    </x:row>
    <x:row r="16" ht="21" hidden="0" customHeight="1">
      <x:c r="A16" s="90"/>
      <x:c r="B16" s="90" t="str">
        <x:v>Capital expenditure / revenue</x:v>
      </x:c>
      <x:c r="C16" s="143" t="n">
        <x:v>0.085</x:v>
      </x:c>
      <x:c r="D16" s="143" t="n">
        <x:v>0.08</x:v>
      </x:c>
      <x:c r="E16" s="143" t="n">
        <x:v>0.09</x:v>
      </x:c>
      <x:c r="F16" s="144" t="n">
        <x:f aca="0">CHOOSE($C$5,C16,D16,E16)</x:f>
        <x:v>0.085</x:v>
      </x:c>
      <x:c r="G16" s="90"/>
      <x:c r="H16" s="124"/>
      <x:c r="I16" s="90"/>
      <x:c r="J16" s="90"/>
    </x:row>
    <x:row r="17" ht="21" hidden="0" customHeight="1">
      <x:c r="A17" s="90"/>
      <x:c r="B17" s="90" t="str">
        <x:v>Normalized tax rate</x:v>
      </x:c>
      <x:c r="C17" s="143" t="n">
        <x:v>0.24</x:v>
      </x:c>
      <x:c r="D17" s="143" t="n">
        <x:v>0.23</x:v>
      </x:c>
      <x:c r="E17" s="143" t="n">
        <x:v>0.26</x:v>
      </x:c>
      <x:c r="F17" s="144" t="n">
        <x:f aca="0">CHOOSE($C$5,C17,D17,E17)</x:f>
        <x:v>0.24</x:v>
      </x:c>
      <x:c r="G17" s="90"/>
      <x:c r="H17" s="124"/>
      <x:c r="I17" s="90"/>
      <x:c r="J17" s="90"/>
    </x:row>
    <x:row r="18" ht="21" hidden="0" customHeight="1">
      <x:c r="A18" s="90"/>
      <x:c r="B18" s="90" t="str">
        <x:v>Year-end operating assets / sales</x:v>
      </x:c>
      <x:c r="C18" s="147" t="n">
        <x:v>0.59</x:v>
      </x:c>
      <x:c r="D18" s="147" t="n">
        <x:v>0.57</x:v>
      </x:c>
      <x:c r="E18" s="147" t="n">
        <x:v>0.61</x:v>
      </x:c>
      <x:c r="F18" s="145" t="n">
        <x:f>CHOOSE($C$5,C18,D18,E18)</x:f>
        <x:v>0.59</x:v>
      </x:c>
      <x:c r="G18" s="90"/>
      <x:c r="H18" s="90"/>
      <x:c r="I18" s="90"/>
      <x:c r="J18" s="90"/>
    </x:row>
    <x:row r="19" ht="21" hidden="0" customHeight="1">
      <x:c r="A19" s="110"/>
      <x:c r="B19" s="110" t="str">
        <x:v>Year-end operating liabilities / sales</x:v>
      </x:c>
      <x:c r="C19" s="150" t="n">
        <x:v>0.7</x:v>
      </x:c>
      <x:c r="D19" s="150" t="n">
        <x:v>0.7</x:v>
      </x:c>
      <x:c r="E19" s="150" t="n">
        <x:v>0.69</x:v>
      </x:c>
      <x:c r="F19" s="148" t="n">
        <x:f>CHOOSE($C$5,C19,D19,E19)</x:f>
        <x:v>0.7</x:v>
      </x:c>
      <x:c r="G19" s="110"/>
      <x:c r="H19" s="110"/>
      <x:c r="I19" s="90"/>
      <x:c r="J19" s="90"/>
    </x:row>
    <x:row r="20" ht="21" hidden="0" customHeight="1">
      <x:c r="A20" s="90"/>
      <x:c r="B20" s="90" t="str">
        <x:v>Annual buyback budget</x:v>
      </x:c>
      <x:c r="C20" s="139" t="n">
        <x:v>150</x:v>
      </x:c>
      <x:c r="D20" s="102" t="n">
        <x:v>225</x:v>
      </x:c>
      <x:c r="E20" s="102" t="n">
        <x:v>75</x:v>
      </x:c>
      <x:c r="F20" s="100" t="n">
        <x:f>CHOOSE($C$5,C20,D20,E20)</x:f>
        <x:v>150</x:v>
      </x:c>
      <x:c r="G20" s="90"/>
      <x:c r="H20" s="124"/>
      <x:c r="I20" s="90"/>
      <x:c r="J20" s="90"/>
    </x:row>
    <x:row r="21" ht="21" hidden="0" customHeight="1">
      <x:c r="A21" s="90"/>
      <x:c r="B21" s="90" t="str">
        <x:v>Annual acquisition spending</x:v>
      </x:c>
      <x:c r="C21" s="139" t="n">
        <x:v>0</x:v>
      </x:c>
      <x:c r="D21" s="102" t="n">
        <x:v>0</x:v>
      </x:c>
      <x:c r="E21" s="102" t="n">
        <x:v>0</x:v>
      </x:c>
      <x:c r="F21" s="100" t="n">
        <x:f>CHOOSE($C$5,C21,D21,E21)</x:f>
        <x:v>0</x:v>
      </x:c>
      <x:c r="G21" s="90"/>
      <x:c r="H21" s="124"/>
      <x:c r="I21" s="90"/>
      <x:c r="J21" s="90"/>
    </x:row>
    <x:row r="22" ht="21" hidden="0" customHeight="1">
      <x:c r="A22" s="90"/>
      <x:c r="B22" s="90" t="str">
        <x:v>Borrowing / refinancing rate</x:v>
      </x:c>
      <x:c r="C22" s="143" t="n">
        <x:v>0.06</x:v>
      </x:c>
      <x:c r="D22" s="147" t="n">
        <x:v>0.055</x:v>
      </x:c>
      <x:c r="E22" s="147" t="n">
        <x:v>0.075</x:v>
      </x:c>
      <x:c r="F22" s="145" t="n">
        <x:f>CHOOSE($C$5,C22,D22,E22)</x:f>
        <x:v>0.06</x:v>
      </x:c>
      <x:c r="G22" s="90"/>
      <x:c r="H22" s="124"/>
      <x:c r="I22" s="90"/>
      <x:c r="J22" s="90"/>
    </x:row>
    <x:row r="23" ht="21" hidden="0" customHeight="1">
      <x:c r="A23" s="90"/>
      <x:c r="B23" s="90"/>
      <x:c r="C23" s="127"/>
      <x:c r="D23" s="90"/>
      <x:c r="E23" s="90"/>
      <x:c r="F23" s="90"/>
      <x:c r="G23" s="90"/>
      <x:c r="H23" s="124"/>
      <x:c r="I23" s="90"/>
      <x:c r="J23" s="90"/>
    </x:row>
    <x:row r="24" ht="21" hidden="0" customHeight="1">
      <x:c r="A24" s="90"/>
      <x:c r="B24" s="90"/>
      <x:c r="C24" s="128"/>
      <x:c r="D24" s="90"/>
      <x:c r="E24" s="90"/>
      <x:c r="F24" s="90"/>
      <x:c r="G24" s="90"/>
      <x:c r="H24" s="124"/>
      <x:c r="I24" s="90"/>
      <x:c r="J24" s="90"/>
    </x:row>
    <x:row r="25" ht="25" hidden="0" customHeight="1">
      <x:c r="A25" s="90"/>
      <x:c r="B25" s="105" t="str">
        <x:v>Valuation assumptions</x:v>
      </x:c>
      <x:c r="C25" s="155"/>
      <x:c r="D25" s="105"/>
      <x:c r="E25" s="105"/>
      <x:c r="F25" s="105"/>
      <x:c r="G25" s="105"/>
      <x:c r="H25" s="156"/>
      <x:c r="I25" s="105"/>
      <x:c r="J25" s="105"/>
    </x:row>
    <x:row r="26" ht="21" hidden="0" customHeight="1">
      <x:c r="A26" s="90"/>
      <x:c r="B26" s="90"/>
      <x:c r="C26" s="126"/>
      <x:c r="D26" s="90"/>
      <x:c r="E26" s="90"/>
      <x:c r="F26" s="90"/>
      <x:c r="G26" s="90"/>
      <x:c r="H26" s="124"/>
      <x:c r="I26" s="90"/>
      <x:c r="J26" s="90"/>
    </x:row>
    <x:row r="27" ht="21" hidden="0" customHeight="1">
      <x:c r="A27" s="90"/>
      <x:c r="B27" s="90" t="str">
        <x:v>Risk-free rate</x:v>
      </x:c>
      <x:c r="C27" s="143" t="n">
        <x:v>0.042</x:v>
      </x:c>
      <x:c r="D27" s="90"/>
      <x:c r="E27" s="90"/>
      <x:c r="F27" s="90"/>
      <x:c r="G27" s="90"/>
      <x:c r="H27" s="124"/>
      <x:c r="I27" s="90"/>
      <x:c r="J27" s="90"/>
    </x:row>
    <x:row r="28" ht="21" hidden="0" customHeight="1">
      <x:c r="A28" s="90"/>
      <x:c r="B28" s="90" t="str">
        <x:v>Equity risk premium</x:v>
      </x:c>
      <x:c r="C28" s="143" t="n">
        <x:v>0.05</x:v>
      </x:c>
      <x:c r="D28" s="90"/>
      <x:c r="E28" s="90"/>
      <x:c r="F28" s="90"/>
      <x:c r="G28" s="90"/>
      <x:c r="H28" s="124"/>
      <x:c r="I28" s="90"/>
      <x:c r="J28" s="90"/>
    </x:row>
    <x:row r="29" ht="21" hidden="0" customHeight="1">
      <x:c r="A29" s="90"/>
      <x:c r="B29" s="90" t="str">
        <x:v>Beta</x:v>
      </x:c>
      <x:c r="C29" s="157" t="n">
        <x:v>1.02</x:v>
      </x:c>
      <x:c r="D29" s="90"/>
      <x:c r="E29" s="90"/>
      <x:c r="F29" s="90"/>
      <x:c r="G29" s="90"/>
      <x:c r="H29" s="124"/>
      <x:c r="I29" s="90"/>
      <x:c r="J29" s="90"/>
    </x:row>
    <x:row r="30" ht="21" hidden="0" customHeight="1">
      <x:c r="A30" s="90"/>
      <x:c r="B30" s="90" t="str">
        <x:v>Size premium</x:v>
      </x:c>
      <x:c r="C30" s="143" t="n">
        <x:v>0.02</x:v>
      </x:c>
      <x:c r="D30" s="90"/>
      <x:c r="E30" s="90"/>
      <x:c r="F30" s="90"/>
      <x:c r="G30" s="90"/>
      <x:c r="H30" s="124"/>
      <x:c r="I30" s="90"/>
      <x:c r="J30" s="90"/>
    </x:row>
    <x:row r="31" ht="21" hidden="0" customHeight="1">
      <x:c r="A31" s="90"/>
      <x:c r="B31" s="90" t="str">
        <x:v>Terminal growth</x:v>
      </x:c>
      <x:c r="C31" s="143" t="n">
        <x:v>0.02</x:v>
      </x:c>
      <x:c r="D31" s="90"/>
      <x:c r="E31" s="90"/>
      <x:c r="F31" s="90"/>
      <x:c r="G31" s="90"/>
      <x:c r="H31" s="124"/>
      <x:c r="I31" s="90"/>
      <x:c r="J31" s="90"/>
    </x:row>
    <x:row r="32" ht="21" hidden="0" customHeight="1">
      <x:c r="A32" s="90"/>
      <x:c r="B32" s="90" t="str">
        <x:v>Exit EV / adjusted EBITDA</x:v>
      </x:c>
      <x:c r="C32" s="160" t="n">
        <x:v>6</x:v>
      </x:c>
      <x:c r="D32" s="90"/>
      <x:c r="E32" s="90"/>
      <x:c r="F32" s="90"/>
      <x:c r="G32" s="90"/>
      <x:c r="H32" s="124"/>
      <x:c r="I32" s="90"/>
      <x:c r="J32" s="90"/>
    </x:row>
    <x:row r="33" ht="21" hidden="0" customHeight="1">
      <x:c r="A33" s="90"/>
      <x:c r="B33" s="90" t="str">
        <x:v>WACC override: 0 = calculated</x:v>
      </x:c>
      <x:c r="C33" s="147" t="n">
        <x:v>0</x:v>
      </x:c>
      <x:c r="D33" s="90"/>
      <x:c r="E33" s="90"/>
      <x:c r="F33" s="90"/>
      <x:c r="G33" s="90"/>
      <x:c r="H33" s="90"/>
      <x:c r="I33" s="90"/>
      <x:c r="J33" s="90"/>
    </x:row>
    <x:row r="34" ht="21" hidden="0" customHeight="1">
      <x:c r="A34" s="90"/>
      <x:c r="B34" s="90" t="str">
        <x:v>Midyear discounting: 1 yes / 0 no</x:v>
      </x:c>
      <x:c r="C34" s="163" t="n">
        <x:v>1</x:v>
      </x:c>
      <x:c r="D34" s="90"/>
      <x:c r="E34" s="90"/>
      <x:c r="F34" s="90"/>
      <x:c r="G34" s="90"/>
      <x:c r="H34" s="90"/>
      <x:c r="I34" s="90"/>
      <x:c r="J34" s="90"/>
    </x:row>
    <x:row r="35" ht="21" hidden="0" customHeight="1">
      <x:c r="A35" s="90"/>
      <x:c r="B35" s="90" t="str">
        <x:v>Acquired-intangible amortization years</x:v>
      </x:c>
      <x:c r="C35" s="166" t="n">
        <x:v>4</x:v>
      </x:c>
      <x:c r="D35" s="90"/>
      <x:c r="E35" s="90"/>
      <x:c r="F35" s="90"/>
      <x:c r="G35" s="90"/>
      <x:c r="H35" s="90"/>
      <x:c r="I35" s="90"/>
      <x:c r="J35" s="90"/>
    </x:row>
    <x:row r="36" ht="21" hidden="0" customHeight="1">
      <x:c r="A36" s="90"/>
      <x:c r="B36" s="90" t="str">
        <x:v>Cash yield</x:v>
      </x:c>
      <x:c r="C36" s="147" t="n">
        <x:v>0.03</x:v>
      </x:c>
      <x:c r="D36" s="90"/>
      <x:c r="E36" s="90"/>
      <x:c r="F36" s="90"/>
      <x:c r="G36" s="90"/>
      <x:c r="H36" s="90"/>
      <x:c r="I36" s="90"/>
      <x:c r="J36" s="90"/>
    </x:row>
    <x:row r="37" ht="21" hidden="0" customHeight="1">
      <x:c r="A37" s="90"/>
      <x:c r="B37" s="90" t="str">
        <x:v>Selected adjusted EBITDA multiple: low</x:v>
      </x:c>
      <x:c r="C37" s="169" t="n">
        <x:v>4</x:v>
      </x:c>
      <x:c r="D37" s="90"/>
      <x:c r="E37" s="90"/>
      <x:c r="F37" s="90"/>
      <x:c r="G37" s="90"/>
      <x:c r="H37" s="90"/>
      <x:c r="I37" s="90"/>
      <x:c r="J37" s="90"/>
    </x:row>
    <x:row r="38" ht="21" hidden="0" customHeight="1">
      <x:c r="A38" s="90"/>
      <x:c r="B38" s="90" t="str">
        <x:v>Selected adjusted EBITDA multiple: high</x:v>
      </x:c>
      <x:c r="C38" s="169" t="n">
        <x:v>6.5</x:v>
      </x:c>
      <x:c r="D38" s="90"/>
      <x:c r="E38" s="90"/>
      <x:c r="F38" s="90"/>
      <x:c r="G38" s="90"/>
      <x:c r="H38" s="90"/>
      <x:c r="I38" s="90"/>
      <x:c r="J38" s="90"/>
    </x:row>
    <x:row r="39" ht="21" hidden="0" customHeight="1">
      <x:c r="A39" s="90"/>
      <x:c r="B39" s="90" t="str">
        <x:v>Buyer premium</x:v>
      </x:c>
      <x:c r="C39" s="147" t="n">
        <x:v>0.25</x:v>
      </x:c>
      <x:c r="D39" s="90"/>
      <x:c r="E39" s="90"/>
      <x:c r="F39" s="90"/>
      <x:c r="G39" s="90"/>
      <x:c r="H39" s="90"/>
      <x:c r="I39" s="90"/>
      <x:c r="J39" s="90"/>
    </x:row>
    <x:row r="40" ht="21" hidden="0" customHeight="1">
      <x:c r="A40" s="90"/>
      <x:c r="B40" s="90" t="str">
        <x:v>Acquisition leverage / EBITDA</x:v>
      </x:c>
      <x:c r="C40" s="169" t="n">
        <x:v>4.5</x:v>
      </x:c>
      <x:c r="D40" s="90"/>
      <x:c r="E40" s="90"/>
      <x:c r="F40" s="90"/>
      <x:c r="G40" s="90"/>
      <x:c r="H40" s="90"/>
      <x:c r="I40" s="90"/>
      <x:c r="J40" s="90"/>
    </x:row>
    <x:row r="41" ht="21" hidden="0" customHeight="1">
      <x:c r="A41" s="90"/>
      <x:c r="B41" s="90" t="str">
        <x:v>Transaction fee / enterprise value</x:v>
      </x:c>
      <x:c r="C41" s="147" t="n">
        <x:v>0.02</x:v>
      </x:c>
      <x:c r="D41" s="90"/>
      <x:c r="E41" s="90"/>
      <x:c r="F41" s="90"/>
      <x:c r="G41" s="90"/>
      <x:c r="H41" s="90"/>
      <x:c r="I41" s="90"/>
      <x:c r="J41" s="90"/>
    </x:row>
    <x:row r="42" ht="21" hidden="0" customHeight="1">
      <x:c r="A42" s="90"/>
      <x:c r="B42" s="90" t="str">
        <x:v>Buyer annual return hurdle</x:v>
      </x:c>
      <x:c r="C42" s="147" t="n">
        <x:v>0.2</x:v>
      </x:c>
      <x:c r="D42" s="90"/>
      <x:c r="E42" s="90"/>
      <x:c r="F42" s="90"/>
      <x:c r="G42" s="90"/>
      <x:c r="H42" s="90"/>
      <x:c r="I42" s="90"/>
      <x:c r="J42" s="90"/>
    </x:row>
    <x:row r="43" ht="21" hidden="0" customHeight="1">
      <x:c r="A43" s="90"/>
      <x:c r="B43" s="90" t="str">
        <x:v>Year-end operating cash reserve</x:v>
      </x:c>
      <x:c r="C43" s="102" t="n">
        <x:v>100</x:v>
      </x:c>
      <x:c r="D43" s="90"/>
      <x:c r="E43" s="90"/>
      <x:c r="F43" s="90"/>
      <x:c r="G43" s="90"/>
      <x:c r="H43" s="90"/>
      <x:c r="I43" s="90"/>
      <x:c r="J43" s="90"/>
    </x:row>
    <x:row r="44" ht="21" hidden="0" customHeight="1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</x:row>
    <x:row r="45" ht="21" hidden="0" customHeight="1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</x:row>
    <x:row r="46" ht="21" hidden="0" customHeight="1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</x:row>
    <x:row r="47" ht="21" hidden="0" customHeight="1">
      <x:c r="A47" s="90"/>
      <x:c r="B47" s="106" t="str">
        <x:v>Adjusted EBITDA adds back stock compensation and transaction costs. The DCF deducts both SBC and a recurring transaction-cost allowance. Selected peer and exit multiples use adjusted EBITDA consistently.</x:v>
      </x:c>
      <x:c r="C47" s="106"/>
      <x:c r="D47" s="106"/>
      <x:c r="E47" s="106"/>
      <x:c r="F47" s="106"/>
      <x:c r="G47" s="106"/>
      <x:c r="H47" s="106"/>
      <x:c r="I47" s="106"/>
      <x:c r="J47" s="106"/>
    </x:row>
    <x:row r="48" ht="21" hidden="0" customHeight="1">
      <x:c r="A48" s="90"/>
      <x:c r="B48" s="106"/>
      <x:c r="C48" s="106"/>
      <x:c r="D48" s="106"/>
      <x:c r="E48" s="106"/>
      <x:c r="F48" s="106"/>
      <x:c r="G48" s="106"/>
      <x:c r="H48" s="106"/>
      <x:c r="I48" s="106"/>
      <x:c r="J48" s="106"/>
    </x:row>
    <x:row r="49" ht="21" hidden="0" customHeight="1">
      <x:c r="A49" s="90"/>
      <x:c r="B49" s="106"/>
      <x:c r="C49" s="106"/>
      <x:c r="D49" s="106"/>
      <x:c r="E49" s="106"/>
      <x:c r="F49" s="106"/>
      <x:c r="G49" s="106"/>
      <x:c r="H49" s="106"/>
      <x:c r="I49" s="106"/>
      <x:c r="J49" s="106"/>
    </x:row>
    <x:row r="50" ht="21" hidden="0" customHeight="1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</x:row>
    <x:row r="51" ht="21" hidden="0" customHeight="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</x:row>
    <x:row r="52" ht="21" hidden="0" customHeight="1">
      <x:c r="A52" s="90"/>
      <x:c r="B52" s="106" t="str">
        <x:v>Revenue is a planning assumption for continuing operations. Organic growth excludes new acquisitions. Acquisition spending defaults to zero; if entered, it reduces cash and DCF value without assuming additional acquired earnings.</x:v>
      </x:c>
      <x:c r="C52" s="106"/>
      <x:c r="D52" s="106"/>
      <x:c r="E52" s="106"/>
      <x:c r="F52" s="106"/>
      <x:c r="G52" s="106"/>
      <x:c r="H52" s="106"/>
      <x:c r="I52" s="106"/>
      <x:c r="J52" s="106"/>
    </x:row>
    <x:row r="53" ht="21" hidden="0" customHeight="1">
      <x:c r="A53" s="90"/>
      <x:c r="B53" s="106"/>
      <x:c r="C53" s="106"/>
      <x:c r="D53" s="106"/>
      <x:c r="E53" s="106"/>
      <x:c r="F53" s="106"/>
      <x:c r="G53" s="106"/>
      <x:c r="H53" s="106"/>
      <x:c r="I53" s="106"/>
      <x:c r="J53" s="106"/>
    </x:row>
    <x:row r="54" ht="21" hidden="0" customHeight="1">
      <x:c r="A54" s="90"/>
      <x:c r="B54" s="106"/>
      <x:c r="C54" s="106"/>
      <x:c r="D54" s="106"/>
      <x:c r="E54" s="106"/>
      <x:c r="F54" s="106"/>
      <x:c r="G54" s="106"/>
      <x:c r="H54" s="106"/>
      <x:c r="I54" s="106"/>
      <x:c r="J54" s="106"/>
    </x:row>
    <x:row r="55" ht="21" hidden="0" customHeight="1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</x:row>
    <x:row r="56" ht="21" hidden="0" customHeight="1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</x:row>
    <x:row r="57" ht="21" hidden="0" customHeight="1">
      <x:c r="A57" s="90"/>
      <x:c r="B57" s="106" t="str">
        <x:v>H2 cash flow is allocated evenly between the latest balance-sheet date and year-end. Operating asset and liability ratios allow for year-end seasonality. Current taxes payable are settled in H2 and reserved separately in the equity bridge.</x:v>
      </x:c>
      <x:c r="C57" s="106"/>
      <x:c r="D57" s="106"/>
      <x:c r="E57" s="106"/>
      <x:c r="F57" s="106"/>
      <x:c r="G57" s="106"/>
      <x:c r="H57" s="106"/>
      <x:c r="I57" s="106"/>
      <x:c r="J57" s="106"/>
    </x:row>
    <x:row r="58" ht="21" hidden="0" customHeight="1">
      <x:c r="A58" s="90"/>
      <x:c r="B58" s="106"/>
      <x:c r="C58" s="106"/>
      <x:c r="D58" s="106"/>
      <x:c r="E58" s="106"/>
      <x:c r="F58" s="106"/>
      <x:c r="G58" s="106"/>
      <x:c r="H58" s="106"/>
      <x:c r="I58" s="106"/>
      <x:c r="J58" s="106"/>
    </x:row>
    <x:row r="59" ht="21" hidden="0" customHeight="1">
      <x:c r="A59" s="90"/>
      <x:c r="B59" s="106"/>
      <x:c r="C59" s="106"/>
      <x:c r="D59" s="106"/>
      <x:c r="E59" s="106"/>
      <x:c r="F59" s="106"/>
      <x:c r="G59" s="106"/>
      <x:c r="H59" s="106"/>
      <x:c r="I59" s="106"/>
      <x:c r="J59" s="106"/>
    </x:row>
    <x:row r="60" ht="21" hidden="0" customHeight="1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</x:row>
    <x:row r="61" ht="21" hidden="0" customHeight="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</x:row>
    <x:row r="62" ht="21" hidden="0" customHeight="1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</x:row>
    <x:row r="63" ht="21" hidden="0" customHeight="1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</x:row>
    <x:row r="64" ht="21" hidden="0" customHeight="1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</x:row>
    <x:row r="65" ht="21" hidden="0" customHeight="1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</x:row>
    <x:row r="66" ht="21" hidden="0" customHeight="1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</x:row>
    <x:row r="67" ht="21" hidden="0" customHeight="1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</x:row>
    <x:row r="68" ht="21" hidden="0" customHeight="1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</x:row>
    <x:row r="69" ht="21" hidden="0" customHeight="1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</x:row>
    <x:row r="70" ht="21" hidden="0" customHeight="1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</x:row>
    <x:row r="71" ht="21" hidden="0" customHeight="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</x:row>
    <x:row r="72" ht="21" hidden="0" customHeight="1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</x:row>
    <x:row r="73" ht="21" hidden="0" customHeight="1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</x:row>
    <x:row r="74" ht="21" hidden="0" customHeight="1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</x:row>
    <x:row r="75" ht="21" hidden="0" customHeight="1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</x:row>
    <x:row r="76" ht="21" hidden="0" customHeight="1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J1"/>
    <x:mergeCell ref="A2:J3"/>
    <x:mergeCell ref="B25:J25"/>
    <x:mergeCell ref="B47:J49"/>
    <x:mergeCell ref="B52:J54"/>
    <x:mergeCell ref="B57:J59"/>
  </x:mergeCells>
  <x:dataValidations count="1">
    <x:dataValidation type="list" sqref="C5">
      <x:formula1>"1,2,3"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36" hidden="0" customWidth="1"/>
    <x:col min="3" max="7" width="13" hidden="0" customWidth="1"/>
  </x:cols>
  <x:sheetData>
    <x:row r="1" ht="25.5" hidden="0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2"/>
      <x:c r="J1" s="2"/>
    </x:row>
    <x:row r="2" ht="13.5" hidden="0" customHeight="1">
      <x:c r="A2" s="265" t="str">
        <x:v>Historical reference; FY2021–FY2025 operating income from company releases. Cash flow includes discontinued operations.</x:v>
      </x:c>
      <x:c r="B2" s="3"/>
      <x:c r="C2" s="3"/>
      <x:c r="D2" s="3"/>
      <x:c r="E2" s="3"/>
      <x:c r="F2" s="3"/>
      <x:c r="G2" s="3"/>
      <x:c r="H2" s="3"/>
      <x:c r="I2" s="2"/>
      <x:c r="J2" s="2"/>
    </x:row>
    <x:row r="3" ht="15" hidden="0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>
      <x:c r="A4" s="13" t="s">
        <x:v>1</x:v>
      </x:c>
      <x:c r="B4" s="13"/>
      <x:c r="C4" s="13"/>
      <x:c r="D4" s="13"/>
      <x:c r="E4" s="13"/>
      <x:c r="F4" s="13"/>
      <x:c r="G4" s="13"/>
      <x:c r="H4" s="13"/>
      <x:c r="I4" s="2"/>
      <x:c r="J4" s="2"/>
    </x:row>
    <x:row r="5" ht="15" hidden="0">
      <x:c r="A5" s="2"/>
      <x:c r="B5" s="6" t="s">
        <x:v>2</x:v>
      </x:c>
      <x:c r="C5" s="14" t="s">
        <x:v>3</x:v>
      </x:c>
      <x:c r="D5" s="14" t="s">
        <x:v>4</x:v>
      </x:c>
      <x:c r="E5" s="14" t="s">
        <x:v>5</x:v>
      </x:c>
      <x:c r="F5" s="14" t="s">
        <x:v>6</x:v>
      </x:c>
      <x:c r="G5" s="14" t="s">
        <x:v>7</x:v>
      </x:c>
      <x:c r="H5" s="2"/>
      <x:c r="I5" s="2"/>
      <x:c r="J5" s="2"/>
    </x:row>
    <x:row r="6" ht="15" hidden="0">
      <x:c r="A6" s="2"/>
      <x:c r="B6" s="2"/>
      <x:c r="C6" s="34" t="s">
        <x:v>8</x:v>
      </x:c>
      <x:c r="D6" s="34" t="s">
        <x:v>9</x:v>
      </x:c>
      <x:c r="E6" s="34" t="s">
        <x:v>10</x:v>
      </x:c>
      <x:c r="F6" s="34" t="s">
        <x:v>11</x:v>
      </x:c>
      <x:c r="G6" s="34" t="s">
        <x:v>12</x:v>
      </x:c>
      <x:c r="H6" s="2"/>
      <x:c r="I6" s="2"/>
      <x:c r="J6" s="2"/>
    </x:row>
    <x:row r="7" ht="15" hidden="0">
      <x:c r="A7" s="2"/>
      <x:c r="B7" s="10" t="s">
        <x:v>13</x:v>
      </x:c>
      <x:c r="C7" s="35" t="n">
        <x:v>1416.7</x:v>
      </x:c>
      <x:c r="D7" s="35" t="n">
        <x:v>1391</x:v>
      </x:c>
      <x:c r="E7" s="35" t="n">
        <x:v>1364</x:v>
      </x:c>
      <x:c r="F7" s="267" t="n">
        <x:v>1401.688</x:v>
      </x:c>
      <x:c r="G7" s="267" t="n">
        <x:v>1451.268</x:v>
      </x:c>
      <x:c r="H7" s="2"/>
      <x:c r="I7" s="2"/>
      <x:c r="J7" s="2"/>
    </x:row>
    <x:row r="8" ht="15" hidden="0">
      <x:c r="A8" s="2"/>
      <x:c r="B8" s="269" t="str">
        <x:v>EBITDA: GAAP EBIT + D&amp;A</x:v>
      </x:c>
      <x:c r="C8" s="267" t="n">
        <x:f>C11+C10</x:f>
        <x:v>416.6</x:v>
      </x:c>
      <x:c r="D8" s="267" t="n">
        <x:f>D11+D10</x:f>
        <x:v>432.3</x:v>
      </x:c>
      <x:c r="E8" s="267" t="n">
        <x:f>E11+E10</x:f>
        <x:v>369.6</x:v>
      </x:c>
      <x:c r="F8" s="267" t="n">
        <x:f>F11+F10</x:f>
        <x:v>325.56399999999996</x:v>
      </x:c>
      <x:c r="G8" s="267" t="n">
        <x:f>G11+G10</x:f>
        <x:v>411.77700000000004</x:v>
      </x:c>
      <x:c r="H8" s="2"/>
      <x:c r="I8" s="2"/>
      <x:c r="J8" s="2"/>
    </x:row>
    <x:row r="9" ht="15" hidden="0">
      <x:c r="A9" s="2"/>
      <x:c r="B9" s="36" t="s">
        <x:v>14</x:v>
      </x:c>
      <x:c r="C9" s="268" t="n">
        <x:f aca="0">C8/C7</x:f>
        <x:v>0.29406366909013903</x:v>
      </x:c>
      <x:c r="D9" s="268" t="n">
        <x:f aca="0">D8/D7</x:f>
        <x:v>0.31078360891445006</x:v>
      </x:c>
      <x:c r="E9" s="268" t="n">
        <x:f aca="0">E8/E7</x:f>
        <x:v>0.2709677419354839</x:v>
      </x:c>
      <x:c r="F9" s="268" t="n">
        <x:f aca="0">F8/F7</x:f>
        <x:v>0.23226566825142253</x:v>
      </x:c>
      <x:c r="G9" s="268" t="n">
        <x:f aca="0">G8/G7</x:f>
        <x:v>0.283736015677325</x:v>
      </x:c>
      <x:c r="H9" s="2"/>
      <x:c r="I9" s="2"/>
      <x:c r="J9" s="2"/>
    </x:row>
    <x:row r="10" ht="15" hidden="0">
      <x:c r="A10" s="2"/>
      <x:c r="B10" s="38" t="s">
        <x:v>15</x:v>
      </x:c>
      <x:c r="C10" s="39" t="n">
        <x:v>249.3</x:v>
      </x:c>
      <x:c r="D10" s="39" t="n">
        <x:v>233.4</x:v>
      </x:c>
      <x:c r="E10" s="39" t="n">
        <x:v>237</x:v>
      </x:c>
      <x:c r="F10" s="273" t="n">
        <x:v>211.916</x:v>
      </x:c>
      <x:c r="G10" s="273" t="n">
        <x:v>228.691</x:v>
      </x:c>
      <x:c r="H10" s="2"/>
      <x:c r="I10" s="2"/>
      <x:c r="J10" s="2"/>
    </x:row>
    <x:row r="11" ht="15" hidden="0">
      <x:c r="A11" s="2"/>
      <x:c r="B11" s="10" t="s">
        <x:v>16</x:v>
      </x:c>
      <x:c r="C11" s="267" t="n">
        <x:v>167.3</x:v>
      </x:c>
      <x:c r="D11" s="267" t="n">
        <x:v>198.9</x:v>
      </x:c>
      <x:c r="E11" s="267" t="n">
        <x:v>132.6</x:v>
      </x:c>
      <x:c r="F11" s="267" t="n">
        <x:v>113.648</x:v>
      </x:c>
      <x:c r="G11" s="267" t="n">
        <x:v>183.086</x:v>
      </x:c>
      <x:c r="H11" s="2"/>
      <x:c r="I11" s="2"/>
      <x:c r="J11" s="2"/>
    </x:row>
    <x:row r="12" ht="15" hidden="0">
      <x:c r="A12" s="2"/>
      <x:c r="B12" s="38" t="s">
        <x:v>17</x:v>
      </x:c>
      <x:c r="C12" s="39" t="n">
        <x:v>-72</x:v>
      </x:c>
      <x:c r="D12" s="39" t="n">
        <x:v>-33.8</x:v>
      </x:c>
      <x:c r="E12" s="39" t="n">
        <x:v>-20</x:v>
      </x:c>
      <x:c r="F12" s="273" t="n">
        <x:v>-13.988</x:v>
      </x:c>
      <x:c r="G12" s="273" t="n">
        <x:v>-25.91</x:v>
      </x:c>
      <x:c r="H12" s="2"/>
      <x:c r="I12" s="2"/>
      <x:c r="J12" s="2"/>
    </x:row>
    <x:row r="13" ht="15" hidden="0">
      <x:c r="A13" s="2"/>
      <x:c r="B13" s="270" t="str">
        <x:v>Goodwill impairment (included in EBIT)</x:v>
      </x:c>
      <x:c r="C13" s="41" t="n">
        <x:v>-32.6</x:v>
      </x:c>
      <x:c r="D13" s="41" t="n">
        <x:v>-27.4</x:v>
      </x:c>
      <x:c r="E13" s="41" t="n">
        <x:v>-56.9</x:v>
      </x:c>
      <x:c r="F13" s="273" t="n">
        <x:v>-85.273</x:v>
      </x:c>
      <x:c r="G13" s="273" t="n">
        <x:v>-17.579</x:v>
      </x:c>
      <x:c r="H13" s="2"/>
      <x:c r="I13" s="2"/>
      <x:c r="J13" s="2"/>
    </x:row>
    <x:row r="14" ht="15" hidden="0">
      <x:c r="A14" s="2"/>
      <x:c r="B14" s="12" t="s">
        <x:v>18</x:v>
      </x:c>
      <x:c r="C14" s="42" t="n">
        <x:v>496.7</x:v>
      </x:c>
      <x:c r="D14" s="42" t="n">
        <x:v>63.8</x:v>
      </x:c>
      <x:c r="E14" s="42" t="n">
        <x:v>41.5</x:v>
      </x:c>
      <x:c r="F14" s="267" t="n">
        <x:v>63.047</x:v>
      </x:c>
      <x:c r="G14" s="267" t="n">
        <x:v>47.354</x:v>
      </x:c>
      <x:c r="H14" s="2"/>
      <x:c r="I14" s="2"/>
      <x:c r="J14" s="2"/>
    </x:row>
    <x:row r="15" ht="15" hidden="0">
      <x:c r="A15" s="2"/>
      <x:c r="B15" s="40" t="s">
        <x:v>19</x:v>
      </x:c>
      <x:c r="C15" s="43" t="n">
        <x:v>10.37</x:v>
      </x:c>
      <x:c r="D15" s="43" t="n">
        <x:v>1.35</x:v>
      </x:c>
      <x:c r="E15" s="43" t="n">
        <x:v>0.89</x:v>
      </x:c>
      <x:c r="F15" s="277" t="n">
        <x:v>1.42</x:v>
      </x:c>
      <x:c r="G15" s="277" t="n">
        <x:v>1.15</x:v>
      </x:c>
      <x:c r="H15" s="2"/>
      <x:c r="I15" s="2"/>
      <x:c r="J15" s="2"/>
    </x:row>
    <x:row r="16" ht="15" hidden="0">
      <x:c r="A16" s="2"/>
      <x:c r="B16" s="271" t="str">
        <x:v>Reported earnings include impairment and disposal effects.</x:v>
      </x:c>
      <x:c r="C16" s="2"/>
      <x:c r="D16" s="2"/>
      <x:c r="E16" s="2"/>
      <x:c r="F16" s="2"/>
      <x:c r="G16" s="2"/>
      <x:c r="H16" s="2"/>
      <x:c r="I16" s="2"/>
      <x:c r="J16" s="2"/>
    </x:row>
    <x:row r="17" ht="15" hidden="0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>
      <x:c r="A18" s="13" t="s">
        <x:v>20</x:v>
      </x:c>
      <x:c r="B18" s="13"/>
      <x:c r="C18" s="13"/>
      <x:c r="D18" s="13"/>
      <x:c r="E18" s="13"/>
      <x:c r="F18" s="13"/>
      <x:c r="G18" s="13"/>
      <x:c r="H18" s="13"/>
      <x:c r="I18" s="2"/>
      <x:c r="J18" s="2"/>
    </x:row>
    <x:row r="19" ht="15" hidden="0">
      <x:c r="A19" s="2"/>
      <x:c r="B19" s="269" t="str">
        <x:v>Normalized net income (assumption)</x:v>
      </x:c>
      <x:c r="C19" s="35" t="n">
        <x:v>102.4</x:v>
      </x:c>
      <x:c r="D19" s="35" t="n">
        <x:v>119.1</x:v>
      </x:c>
      <x:c r="E19" s="35" t="n">
        <x:v>94</x:v>
      </x:c>
      <x:c r="F19" s="35" t="n">
        <x:v>125.7</x:v>
      </x:c>
      <x:c r="G19" s="35" t="n">
        <x:v>98.8</x:v>
      </x:c>
      <x:c r="H19" s="2"/>
      <x:c r="I19" s="2"/>
      <x:c r="J19" s="2"/>
    </x:row>
    <x:row r="20" ht="15" hidden="0">
      <x:c r="A20" s="2"/>
      <x:c r="B20" s="269" t="str">
        <x:v>Normalized EPS (assumption)</x:v>
      </x:c>
      <x:c r="C20" s="45" t="n">
        <x:v>2.14</x:v>
      </x:c>
      <x:c r="D20" s="45" t="n">
        <x:v>2.53</x:v>
      </x:c>
      <x:c r="E20" s="45" t="n">
        <x:v>2.02</x:v>
      </x:c>
      <x:c r="F20" s="45" t="n">
        <x:v>2.82</x:v>
      </x:c>
      <x:c r="G20" s="45" t="n">
        <x:v>2.4</x:v>
      </x:c>
      <x:c r="H20" s="2"/>
      <x:c r="I20" s="2"/>
      <x:c r="J20" s="2"/>
    </x:row>
    <x:row r="21" ht="15" hidden="0">
      <x:c r="A21" s="2"/>
      <x:c r="B21" s="38" t="s">
        <x:v>21</x:v>
      </x:c>
      <x:c r="C21" s="39" t="n">
        <x:v>25.2</x:v>
      </x:c>
      <x:c r="D21" s="39" t="n">
        <x:v>26.6</x:v>
      </x:c>
      <x:c r="E21" s="39" t="n">
        <x:v>31.9</x:v>
      </x:c>
      <x:c r="F21" s="273" t="n">
        <x:v>40.915</x:v>
      </x:c>
      <x:c r="G21" s="273" t="n">
        <x:v>44.927</x:v>
      </x:c>
      <x:c r="H21" s="2"/>
      <x:c r="I21" s="2"/>
      <x:c r="J21" s="2"/>
    </x:row>
    <x:row r="22" ht="15" hidden="0">
      <x:c r="A22" s="2"/>
      <x:c r="B22" s="38" t="s">
        <x:v>22</x:v>
      </x:c>
      <x:c r="C22" s="46" t="n">
        <x:v>47.9</x:v>
      </x:c>
      <x:c r="D22" s="46" t="n">
        <x:v>47</x:v>
      </x:c>
      <x:c r="E22" s="46" t="n">
        <x:v>46.5</x:v>
      </x:c>
      <x:c r="F22" s="273" t="n">
        <x:v>44.519693</x:v>
      </x:c>
      <x:c r="G22" s="273" t="n">
        <x:v>41.098514</x:v>
      </x:c>
      <x:c r="H22" s="2"/>
      <x:c r="I22" s="2"/>
      <x:c r="J22" s="2"/>
    </x:row>
    <x:row r="23" ht="15" hidden="0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>
      <x:c r="A24" s="13" t="s">
        <x:v>23</x:v>
      </x:c>
      <x:c r="B24" s="13"/>
      <x:c r="C24" s="13"/>
      <x:c r="D24" s="13"/>
      <x:c r="E24" s="13"/>
      <x:c r="F24" s="13"/>
      <x:c r="G24" s="13"/>
      <x:c r="H24" s="13"/>
      <x:c r="I24" s="2"/>
      <x:c r="J24" s="2"/>
    </x:row>
    <x:row r="25" ht="15" hidden="0">
      <x:c r="A25" s="2"/>
      <x:c r="B25" s="38" t="s">
        <x:v>24</x:v>
      </x:c>
      <x:c r="C25" s="39" t="n">
        <x:v>516.5</x:v>
      </x:c>
      <x:c r="D25" s="39" t="n">
        <x:v>336.4</x:v>
      </x:c>
      <x:c r="E25" s="39" t="n">
        <x:v>320</x:v>
      </x:c>
      <x:c r="F25" s="273" t="n">
        <x:v>390.315</x:v>
      </x:c>
      <x:c r="G25" s="273" t="n">
        <x:v>407.068</x:v>
      </x:c>
      <x:c r="H25" s="2"/>
      <x:c r="I25" s="2"/>
      <x:c r="J25" s="2"/>
    </x:row>
    <x:row r="26" ht="15" hidden="0">
      <x:c r="A26" s="2"/>
      <x:c r="B26" s="38" t="s">
        <x:v>25</x:v>
      </x:c>
      <x:c r="C26" s="39" t="n">
        <x:v>-113.7</x:v>
      </x:c>
      <x:c r="D26" s="39" t="n">
        <x:v>-106.2</x:v>
      </x:c>
      <x:c r="E26" s="39" t="n">
        <x:v>-108.7</x:v>
      </x:c>
      <x:c r="F26" s="273" t="n">
        <x:v>-106.635</x:v>
      </x:c>
      <x:c r="G26" s="273" t="n">
        <x:v>-119.198</x:v>
      </x:c>
      <x:c r="H26" s="2"/>
      <x:c r="I26" s="2"/>
      <x:c r="J26" s="2"/>
    </x:row>
    <x:row r="27" ht="15" hidden="0">
      <x:c r="A27" s="2"/>
      <x:c r="B27" s="38" t="s">
        <x:v>26</x:v>
      </x:c>
      <x:c r="C27" s="39" t="n">
        <x:v>-141.1</x:v>
      </x:c>
      <x:c r="D27" s="39" t="n">
        <x:v>-104.1</x:v>
      </x:c>
      <x:c r="E27" s="39" t="n">
        <x:v>-9.5</x:v>
      </x:c>
      <x:c r="F27" s="273" t="n">
        <x:v>-217.57</x:v>
      </x:c>
      <x:c r="G27" s="273" t="n">
        <x:v>-67.34</x:v>
      </x:c>
      <x:c r="H27" s="2"/>
      <x:c r="I27" s="2"/>
      <x:c r="J27" s="2"/>
    </x:row>
    <x:row r="28" ht="15" hidden="0">
      <x:c r="A28" s="2"/>
      <x:c r="B28" s="38" t="s">
        <x:v>27</x:v>
      </x:c>
      <x:c r="C28" s="39" t="n">
        <x:v>-78.3</x:v>
      </x:c>
      <x:c r="D28" s="39" t="n">
        <x:v>-78.3</x:v>
      </x:c>
      <x:c r="E28" s="39" t="n">
        <x:v>-108.5</x:v>
      </x:c>
      <x:c r="F28" s="273" t="n">
        <x:v>-185.181</x:v>
      </x:c>
      <x:c r="G28" s="273" t="n">
        <x:v>-173.792</x:v>
      </x:c>
      <x:c r="H28" s="2"/>
      <x:c r="I28" s="2"/>
      <x:c r="J28" s="2"/>
    </x:row>
    <x:row r="29" ht="15" hidden="0">
      <x:c r="A29" s="2"/>
      <x:c r="B29" s="10" t="s">
        <x:v>28</x:v>
      </x:c>
      <x:c r="C29" s="35" t="n">
        <x:f aca="0">C25+C26</x:f>
        <x:v>402.8</x:v>
      </x:c>
      <x:c r="D29" s="35" t="n">
        <x:f aca="0">D25+D26</x:f>
        <x:v>230.2</x:v>
      </x:c>
      <x:c r="E29" s="35" t="n">
        <x:f aca="0">E25+E26</x:f>
        <x:v>211.3</x:v>
      </x:c>
      <x:c r="F29" s="267" t="n">
        <x:f aca="0">F25+F26</x:f>
        <x:v>283.68</x:v>
      </x:c>
      <x:c r="G29" s="267" t="n">
        <x:f aca="0">G25+G26</x:f>
        <x:v>287.87</x:v>
      </x:c>
      <x:c r="H29" s="2"/>
      <x:c r="I29" s="2"/>
      <x:c r="J29" s="2"/>
    </x:row>
    <x:row r="30" ht="15" hidden="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60">
      <x:c r="B60" s="283" t="str">
        <x:v>Historical reference: supplied financial data. The forecast uses continuing operations from the June 2026 source inputs. Earlier periods include the Connectivity business.</x:v>
      </x:c>
      <x:c r="C60" s="284"/>
      <x:c r="D60" s="284"/>
      <x:c r="E60" s="284"/>
      <x:c r="F60" s="284"/>
      <x:c r="G60" s="284"/>
      <x:c r="H60" s="284"/>
      <x:c r="I60" s="284"/>
      <x:c r="J60" s="284"/>
    </x:row>
    <x:row r="61">
      <x:c r="B61" s="284"/>
      <x:c r="C61" s="284"/>
      <x:c r="D61" s="284"/>
      <x:c r="E61" s="284"/>
      <x:c r="F61" s="284"/>
      <x:c r="G61" s="284"/>
      <x:c r="H61" s="284"/>
      <x:c r="I61" s="284"/>
      <x:c r="J61" s="284"/>
    </x:row>
    <x:row r="62">
      <x:c r="B62" s="284"/>
      <x:c r="C62" s="284"/>
      <x:c r="D62" s="284"/>
      <x:c r="E62" s="284"/>
      <x:c r="F62" s="284"/>
      <x:c r="G62" s="284"/>
      <x:c r="H62" s="284"/>
      <x:c r="I62" s="284"/>
      <x:c r="J62" s="284"/>
    </x:row>
  </x:sheetData>
  <x:mergeCells>
    <x:mergeCell ref="A1:H1"/>
    <x:mergeCell ref="A2:H2"/>
    <x:mergeCell ref="A4:H4"/>
    <x:mergeCell ref="A18:H18"/>
    <x:mergeCell ref="A24:H24"/>
    <x:mergeCell ref="B60:J6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FF0000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6" hidden="0" customWidth="1"/>
    <x:col min="3" max="5" width="15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2" hidden="0" customHeight="1">
      <x:c r="A1" s="133" t="str">
        <x:v>PORTFOLIO | CONNECTIVITY DIVESTITURE</x:v>
      </x:c>
      <x:c r="B1" s="133"/>
      <x:c r="C1" s="133"/>
      <x:c r="D1" s="133"/>
      <x:c r="E1" s="133"/>
      <x:c r="F1" s="133"/>
      <x:c r="G1" s="133"/>
      <x:c r="H1" s="133"/>
      <x:c r="I1" s="92"/>
      <x:c r="J1" s="92"/>
    </x:row>
    <x:row r="2" ht="21" hidden="0" customHeight="1">
      <x:c r="A2" s="135" t="str">
        <x:v>Continuing operations, sale proceeds and cash commitments.</x:v>
      </x:c>
      <x:c r="B2" s="135"/>
      <x:c r="C2" s="135"/>
      <x:c r="D2" s="135"/>
      <x:c r="E2" s="135"/>
      <x:c r="F2" s="135"/>
      <x:c r="G2" s="135"/>
      <x:c r="H2" s="135"/>
      <x:c r="I2" s="94"/>
      <x:c r="J2" s="94"/>
    </x:row>
    <x:row r="3" ht="21" hidden="0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</x:row>
    <x:row r="4" ht="21" hidden="0" customHeight="1">
      <x:c r="A4" s="90"/>
      <x:c r="B4" s="252"/>
      <x:c r="C4" s="252"/>
      <x:c r="D4" s="252"/>
      <x:c r="E4" s="252"/>
      <x:c r="F4" s="252"/>
      <x:c r="G4" s="252"/>
      <x:c r="H4" s="252"/>
      <x:c r="I4" s="90"/>
      <x:c r="J4" s="90"/>
    </x:row>
    <x:row r="5" ht="21" hidden="0" customHeight="1">
      <x:c r="A5" s="90"/>
      <x:c r="B5" s="252" t="str">
        <x:v>Connectivity was sold in June 2026. Continuing revenue and earnings exclude the sold business. Reported H1 operating cash flow and capital expenditure include its cash flows before sale.</x:v>
      </x:c>
      <x:c r="C5" s="252"/>
      <x:c r="D5" s="252"/>
      <x:c r="E5" s="252"/>
      <x:c r="F5" s="252"/>
      <x:c r="G5" s="252"/>
      <x:c r="H5" s="252"/>
      <x:c r="I5" s="106"/>
      <x:c r="J5" s="106"/>
    </x:row>
    <x:row r="6" ht="21" hidden="0" customHeight="1">
      <x:c r="A6" s="90"/>
      <x:c r="B6" s="252"/>
      <x:c r="C6" s="252"/>
      <x:c r="D6" s="252"/>
      <x:c r="E6" s="252"/>
      <x:c r="F6" s="252"/>
      <x:c r="G6" s="252"/>
      <x:c r="H6" s="252"/>
      <x:c r="I6" s="106"/>
      <x:c r="J6" s="106"/>
    </x:row>
    <x:row r="7" ht="21" hidden="0" customHeight="1">
      <x:c r="A7" s="90"/>
      <x:c r="B7" s="252"/>
      <x:c r="C7" s="252"/>
      <x:c r="D7" s="252"/>
      <x:c r="E7" s="252"/>
      <x:c r="F7" s="252"/>
      <x:c r="G7" s="252"/>
      <x:c r="H7" s="252"/>
      <x:c r="I7" s="106"/>
      <x:c r="J7" s="106"/>
    </x:row>
    <x:row r="8" ht="21" hidden="0" customHeight="1">
      <x:c r="A8" s="90"/>
      <x:c r="B8" s="90"/>
      <x:c r="C8" s="90"/>
      <x:c r="D8" s="90"/>
      <x:c r="E8" s="90"/>
      <x:c r="F8" s="90"/>
      <x:c r="G8" s="90"/>
      <x:c r="H8" s="90"/>
      <x:c r="I8" s="90"/>
      <x:c r="J8" s="90"/>
    </x:row>
    <x:row r="9" ht="21" hidden="0" customHeight="1">
      <x:c r="A9" s="110"/>
      <x:c r="B9" s="110"/>
      <x:c r="C9" s="110"/>
      <x:c r="D9" s="110"/>
      <x:c r="E9" s="110"/>
      <x:c r="F9" s="110"/>
      <x:c r="G9" s="90"/>
      <x:c r="H9" s="90"/>
      <x:c r="I9" s="90"/>
      <x:c r="J9" s="90"/>
    </x:row>
    <x:row r="10" ht="21" hidden="0" customHeight="1">
      <x:c r="A10" s="90"/>
      <x:c r="B10" s="90" t="str">
        <x:v>H1 2026 continuing revenue</x:v>
      </x:c>
      <x:c r="C10" s="195" t="n">
        <x:f>'Source Inputs'!$C$25</x:f>
        <x:v>554.379</x:v>
      </x:c>
      <x:c r="D10" s="90"/>
      <x:c r="E10" s="90"/>
      <x:c r="F10" s="90"/>
      <x:c r="G10" s="90"/>
      <x:c r="H10" s="90"/>
      <x:c r="I10" s="90"/>
      <x:c r="J10" s="90"/>
    </x:row>
    <x:row r="11" ht="21" hidden="0" customHeight="1">
      <x:c r="A11" s="90"/>
      <x:c r="B11" s="90" t="str">
        <x:v>H1 2025 continuing revenue</x:v>
      </x:c>
      <x:c r="C11" s="195" t="n">
        <x:f>'Source Inputs'!$C$34</x:f>
        <x:v>567.619</x:v>
      </x:c>
      <x:c r="D11" s="90"/>
      <x:c r="E11" s="90"/>
      <x:c r="F11" s="90"/>
      <x:c r="G11" s="90"/>
      <x:c r="H11" s="90"/>
      <x:c r="I11" s="90"/>
      <x:c r="J11" s="90"/>
    </x:row>
    <x:row r="12" ht="21" hidden="0" customHeight="1">
      <x:c r="A12" s="90"/>
      <x:c r="B12" s="110" t="str">
        <x:v>Revenue change</x:v>
      </x:c>
      <x:c r="C12" s="144" t="n">
        <x:f aca="0">C10/C11-1</x:f>
        <x:v>-0.023325505312542405</x:v>
      </x:c>
      <x:c r="D12" s="90"/>
      <x:c r="E12" s="90"/>
      <x:c r="F12" s="90"/>
      <x:c r="G12" s="90"/>
      <x:c r="H12" s="90"/>
      <x:c r="I12" s="90"/>
      <x:c r="J12" s="90"/>
    </x:row>
    <x:row r="13" ht="21" hidden="0" customHeight="1">
      <x:c r="A13" s="90"/>
      <x:c r="B13" s="90"/>
      <x:c r="C13" s="127"/>
      <x:c r="D13" s="90"/>
      <x:c r="E13" s="90"/>
      <x:c r="F13" s="90"/>
      <x:c r="G13" s="90"/>
      <x:c r="H13" s="90"/>
      <x:c r="I13" s="90"/>
      <x:c r="J13" s="90"/>
    </x:row>
    <x:row r="14" ht="21" hidden="0" customHeight="1">
      <x:c r="A14" s="90"/>
      <x:c r="B14" s="90"/>
      <x:c r="C14" s="90"/>
      <x:c r="D14" s="90"/>
      <x:c r="E14" s="90"/>
      <x:c r="F14" s="90"/>
      <x:c r="G14" s="90"/>
      <x:c r="H14" s="90"/>
      <x:c r="I14" s="90"/>
      <x:c r="J14" s="90"/>
    </x:row>
    <x:row r="15" ht="21" hidden="0" customHeight="1">
      <x:c r="A15" s="110"/>
      <x:c r="B15" s="110" t="str">
        <x:v>H1 adjusted EBITDA</x:v>
      </x:c>
      <x:c r="C15" s="198" t="n">
        <x:f>'Source Inputs'!$C$26</x:f>
        <x:v>140.201</x:v>
      </x:c>
      <x:c r="D15" s="110"/>
      <x:c r="E15" s="110"/>
      <x:c r="F15" s="110"/>
      <x:c r="G15" s="90"/>
      <x:c r="H15" s="90"/>
      <x:c r="I15" s="90"/>
      <x:c r="J15" s="90"/>
    </x:row>
    <x:row r="16" ht="21" hidden="0" customHeight="1">
      <x:c r="A16" s="90"/>
      <x:c r="B16" s="90" t="str">
        <x:v>H1 continuing SBC</x:v>
      </x:c>
      <x:c r="C16" s="195" t="n">
        <x:f>'Source Inputs'!$C$29</x:f>
        <x:v>20.068</x:v>
      </x:c>
      <x:c r="D16" s="90"/>
      <x:c r="E16" s="90"/>
      <x:c r="F16" s="90"/>
      <x:c r="G16" s="90"/>
      <x:c r="H16" s="90"/>
      <x:c r="I16" s="90"/>
      <x:c r="J16" s="90"/>
    </x:row>
    <x:row r="17" ht="21" hidden="0" customHeight="1">
      <x:c r="A17" s="90"/>
      <x:c r="B17" s="90" t="str">
        <x:v>H1 recurring transaction costs reference</x:v>
      </x:c>
      <x:c r="C17" s="195" t="n">
        <x:f>'Source Inputs'!$C$30</x:f>
        <x:v>11.724</x:v>
      </x:c>
      <x:c r="D17" s="90"/>
      <x:c r="E17" s="90"/>
      <x:c r="F17" s="90"/>
      <x:c r="G17" s="90"/>
      <x:c r="H17" s="90"/>
      <x:c r="I17" s="90"/>
      <x:c r="J17" s="90"/>
    </x:row>
    <x:row r="18" ht="21" hidden="0" customHeight="1">
      <x:c r="A18" s="90"/>
      <x:c r="B18" s="90"/>
      <x:c r="C18" s="127"/>
      <x:c r="D18" s="90"/>
      <x:c r="E18" s="90"/>
      <x:c r="F18" s="90"/>
      <x:c r="G18" s="90"/>
      <x:c r="H18" s="90"/>
      <x:c r="I18" s="90"/>
      <x:c r="J18" s="90"/>
    </x:row>
    <x:row r="19" ht="21" hidden="0" customHeight="1">
      <x:c r="A19" s="90"/>
      <x:c r="B19" s="124"/>
      <x:c r="C19" s="90"/>
      <x:c r="D19" s="90"/>
      <x:c r="E19" s="90"/>
      <x:c r="F19" s="90"/>
      <x:c r="G19" s="90"/>
      <x:c r="H19" s="90"/>
      <x:c r="I19" s="90"/>
      <x:c r="J19" s="90"/>
    </x:row>
    <x:row r="20" ht="21" hidden="0" customHeight="1">
      <x:c r="A20" s="90"/>
      <x:c r="B20" s="90" t="str">
        <x:v>Net cash received from divestiture</x:v>
      </x:c>
      <x:c r="C20" s="199" t="n">
        <x:f>'Source Inputs'!$C$33</x:f>
        <x:v>1134.081</x:v>
      </x:c>
      <x:c r="D20" s="90"/>
      <x:c r="E20" s="90"/>
      <x:c r="F20" s="90"/>
      <x:c r="G20" s="90"/>
      <x:c r="H20" s="90"/>
      <x:c r="I20" s="90"/>
      <x:c r="J20" s="90"/>
    </x:row>
    <x:row r="21" ht="21" hidden="0" customHeight="1">
      <x:c r="A21" s="110"/>
      <x:c r="B21" s="110" t="str">
        <x:v>Ending cash: proceeds already included</x:v>
      </x:c>
      <x:c r="C21" s="198" t="n">
        <x:f>'Source Inputs'!$C$9</x:f>
        <x:v>1606.112</x:v>
      </x:c>
      <x:c r="D21" s="110"/>
      <x:c r="E21" s="110"/>
      <x:c r="F21" s="110"/>
      <x:c r="G21" s="90"/>
      <x:c r="H21" s="90"/>
      <x:c r="I21" s="90"/>
      <x:c r="J21" s="90"/>
    </x:row>
    <x:row r="22" ht="21" hidden="0" customHeight="1">
      <x:c r="A22" s="90"/>
      <x:c r="B22" s="124" t="str">
        <x:v>Current taxes payable reserved</x:v>
      </x:c>
      <x:c r="C22" s="255" t="n">
        <x:f>'Source Inputs'!$C$14</x:f>
        <x:v>185.637</x:v>
      </x:c>
      <x:c r="D22" s="124"/>
      <x:c r="E22" s="124"/>
      <x:c r="F22" s="124"/>
      <x:c r="G22" s="124"/>
      <x:c r="H22" s="124"/>
      <x:c r="I22" s="90"/>
      <x:c r="J22" s="90"/>
    </x:row>
    <x:row r="23" ht="21" hidden="0" customHeight="1">
      <x:c r="A23" s="90"/>
      <x:c r="B23" s="124" t="str">
        <x:v>Net cash credited in valuation</x:v>
      </x:c>
      <x:c r="C23" s="255" t="n">
        <x:f>'Source Inputs'!$C$43</x:f>
        <x:v>425.97500000000014</x:v>
      </x:c>
      <x:c r="D23" s="124"/>
      <x:c r="E23" s="124"/>
      <x:c r="F23" s="124"/>
      <x:c r="G23" s="124"/>
      <x:c r="H23" s="124"/>
      <x:c r="I23" s="90"/>
      <x:c r="J23" s="90"/>
    </x:row>
    <x:row r="24" ht="21" hidden="0" customHeight="1">
      <x:c r="A24" s="90"/>
      <x:c r="B24" s="124"/>
      <x:c r="C24" s="124"/>
      <x:c r="D24" s="124"/>
      <x:c r="E24" s="124"/>
      <x:c r="F24" s="124"/>
      <x:c r="G24" s="124"/>
      <x:c r="H24" s="124"/>
      <x:c r="I24" s="90"/>
      <x:c r="J24" s="90"/>
    </x:row>
    <x:row r="25" ht="21" hidden="0" customHeight="1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</x:row>
    <x:row r="26" ht="21" hidden="0" customHeight="1">
      <x:c r="A26" s="110"/>
      <x:c r="B26" s="110" t="str">
        <x:v>Combined H1 operating cash flow</x:v>
      </x:c>
      <x:c r="C26" s="198" t="n">
        <x:f>'Source Inputs'!$C$31</x:f>
        <x:v>118.916</x:v>
      </x:c>
      <x:c r="D26" s="110"/>
      <x:c r="E26" s="110"/>
      <x:c r="F26" s="110"/>
      <x:c r="G26" s="90"/>
      <x:c r="H26" s="90"/>
      <x:c r="I26" s="90"/>
      <x:c r="J26" s="90"/>
    </x:row>
    <x:row r="27" ht="21" hidden="0" customHeight="1">
      <x:c r="A27" s="90"/>
      <x:c r="B27" s="90" t="str">
        <x:v>Combined H1 capital expenditure</x:v>
      </x:c>
      <x:c r="C27" s="199" t="n">
        <x:f>'Source Inputs'!$C$32</x:f>
        <x:v>68.126</x:v>
      </x:c>
      <x:c r="D27" s="90"/>
      <x:c r="E27" s="90"/>
      <x:c r="F27" s="90"/>
      <x:c r="G27" s="90"/>
      <x:c r="H27" s="90"/>
      <x:c r="I27" s="90"/>
      <x:c r="J27" s="90"/>
    </x:row>
    <x:row r="28" ht="21" hidden="0" customHeight="1">
      <x:c r="A28" s="90"/>
      <x:c r="B28" s="90" t="str">
        <x:v>Combined H1 free cash flow</x:v>
      </x:c>
      <x:c r="C28" s="100" t="n">
        <x:f>C26-C27</x:f>
        <x:v>50.78999999999999</x:v>
      </x:c>
      <x:c r="D28" s="90"/>
      <x:c r="E28" s="90"/>
      <x:c r="F28" s="90"/>
      <x:c r="G28" s="90"/>
      <x:c r="H28" s="90"/>
      <x:c r="I28" s="90"/>
      <x:c r="J28" s="90"/>
    </x:row>
    <x:row r="29" ht="21" hidden="0" customHeight="1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</x:row>
    <x:row r="30" ht="21" hidden="0" customHeight="1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</x:row>
    <x:row r="31" ht="21" hidden="0" customHeight="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</x:row>
    <x:row r="32" ht="21" hidden="0" customHeight="1">
      <x:c r="A32" s="90"/>
      <x:c r="B32" s="106" t="str">
        <x:v>Do not capitalize the one-time sale gain or add the proceeds twice. Compare the continuing business on a consistent perimeter, then evaluate how excess cash can create value through disciplined capital allocation.</x:v>
      </x:c>
      <x:c r="C32" s="106"/>
      <x:c r="D32" s="106"/>
      <x:c r="E32" s="106"/>
      <x:c r="F32" s="106"/>
      <x:c r="G32" s="106"/>
      <x:c r="H32" s="106"/>
      <x:c r="I32" s="106"/>
      <x:c r="J32" s="106"/>
    </x:row>
    <x:row r="33" ht="21" hidden="0" customHeight="1">
      <x:c r="A33" s="90"/>
      <x:c r="B33" s="106"/>
      <x:c r="C33" s="106"/>
      <x:c r="D33" s="106"/>
      <x:c r="E33" s="106"/>
      <x:c r="F33" s="106"/>
      <x:c r="G33" s="106"/>
      <x:c r="H33" s="106"/>
      <x:c r="I33" s="106"/>
      <x:c r="J33" s="106"/>
    </x:row>
    <x:row r="34" ht="21" hidden="0" customHeight="1">
      <x:c r="A34" s="90"/>
      <x:c r="B34" s="106"/>
      <x:c r="C34" s="106"/>
      <x:c r="D34" s="106"/>
      <x:c r="E34" s="106"/>
      <x:c r="F34" s="106"/>
      <x:c r="G34" s="106"/>
      <x:c r="H34" s="106"/>
      <x:c r="I34" s="106"/>
      <x:c r="J34" s="106"/>
    </x:row>
    <x:row r="35" ht="21" hidden="0" customHeight="1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</x:row>
    <x:row r="36" ht="21" hidden="0" customHeight="1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</x:row>
    <x:row r="37" ht="21" hidden="0" customHeight="1">
      <x:c r="A37" s="90"/>
      <x:c r="B37" s="106" t="str">
        <x:v>https://investor.ziffdavis.com/news/news-details/2026/Ziff-Davis-Reports-Second-Quarter-2026-Financial-Results/default.aspx</x:v>
      </x:c>
      <x:c r="C37" s="106"/>
      <x:c r="D37" s="106"/>
      <x:c r="E37" s="106"/>
      <x:c r="F37" s="106"/>
      <x:c r="G37" s="106"/>
      <x:c r="H37" s="106"/>
      <x:c r="I37" s="106"/>
      <x:c r="J37" s="106"/>
    </x:row>
    <x:row r="38" ht="21" hidden="0" customHeight="1">
      <x:c r="A38" s="90"/>
      <x:c r="B38" s="106"/>
      <x:c r="C38" s="106"/>
      <x:c r="D38" s="106"/>
      <x:c r="E38" s="106"/>
      <x:c r="F38" s="106"/>
      <x:c r="G38" s="106"/>
      <x:c r="H38" s="106"/>
      <x:c r="I38" s="106"/>
      <x:c r="J38" s="106"/>
    </x:row>
    <x:row r="39" ht="21" hidden="0" customHeight="1">
      <x:c r="A39" s="90"/>
      <x:c r="B39" s="106"/>
      <x:c r="C39" s="106"/>
      <x:c r="D39" s="106"/>
      <x:c r="E39" s="106"/>
      <x:c r="F39" s="106"/>
      <x:c r="G39" s="106"/>
      <x:c r="H39" s="106"/>
      <x:c r="I39" s="106"/>
      <x:c r="J39" s="106"/>
    </x:row>
    <x:row r="40" ht="21" hidden="0" customHeight="1">
      <x:c r="A40" s="90"/>
      <x:c r="B40" s="106"/>
      <x:c r="C40" s="106"/>
      <x:c r="D40" s="106"/>
      <x:c r="E40" s="106"/>
      <x:c r="F40" s="106"/>
      <x:c r="G40" s="106"/>
      <x:c r="H40" s="106"/>
      <x:c r="I40" s="106"/>
      <x:c r="J40" s="106"/>
    </x:row>
    <x:row r="41" ht="21" hidden="0" customHeight="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</x:row>
    <x:row r="42" ht="21" hidden="0" customHeight="1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</x:row>
    <x:row r="43" ht="21" hidden="0" customHeight="1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</x:row>
    <x:row r="44" ht="21" hidden="0" customHeight="1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</x:row>
    <x:row r="45" ht="21" hidden="0" customHeight="1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</x:row>
    <x:row r="46" ht="21" hidden="0" customHeight="1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</x:row>
    <x:row r="47" ht="21" hidden="0" customHeight="1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</x:row>
    <x:row r="48" ht="21" hidden="0" customHeight="1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</x:row>
    <x:row r="49" ht="21" hidden="0" customHeight="1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</x:row>
    <x:row r="50" ht="21" hidden="0" customHeight="1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</x:row>
    <x:row r="51" ht="15" hidden="0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mergeCells>
    <x:mergeCell ref="A1:J1"/>
    <x:mergeCell ref="A2:J3"/>
    <x:mergeCell ref="B5:J7"/>
    <x:mergeCell ref="B32:J34"/>
    <x:mergeCell ref="B37:J40"/>
  </x:mergeCells>
  <x:pageMargins left="0.7" right="0.7" top="0.75" bottom="0.75" header="0.3" footer="0.3"/>
  <x:legacyDrawing xmlns:r="http://schemas.openxmlformats.org/officeDocument/2006/relationships" r:id="R111beb72656d48b1"/>
</x:worksheet>
</file>

<file path=xl/worksheets/sheet6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6" hidden="0" customWidth="1"/>
    <x:col min="3" max="7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2" hidden="0" customHeight="1">
      <x:c r="A1" s="133" t="str">
        <x:v>OPERATING FORECAST | CONTINUING OPERATIONS</x:v>
      </x:c>
      <x:c r="B1" s="133"/>
      <x:c r="C1" s="133"/>
      <x:c r="D1" s="133"/>
      <x:c r="E1" s="133"/>
      <x:c r="F1" s="133"/>
      <x:c r="G1" s="133"/>
      <x:c r="H1" s="133"/>
      <x:c r="I1" s="92"/>
      <x:c r="J1" s="92"/>
    </x:row>
    <x:row r="2" ht="21" hidden="0" customHeight="1">
      <x:c r="A2" s="135" t="str">
        <x:v>H2 FY2026 followed by full fiscal years. US$ millions. Rent and stock compensation remain economic costs.</x:v>
      </x:c>
      <x:c r="B2" s="135"/>
      <x:c r="C2" s="135"/>
      <x:c r="D2" s="135"/>
      <x:c r="E2" s="135"/>
      <x:c r="F2" s="135"/>
      <x:c r="G2" s="135"/>
      <x:c r="H2" s="135"/>
      <x:c r="I2" s="94"/>
      <x:c r="J2" s="94"/>
    </x:row>
    <x:row r="3" ht="21" hidden="0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</x:row>
    <x:row r="4" ht="21" hidden="0" customHeight="1">
      <x:c r="A4" s="110"/>
      <x:c r="B4" s="110"/>
      <x:c r="C4" s="110"/>
      <x:c r="D4" s="110"/>
      <x:c r="E4" s="110"/>
      <x:c r="F4" s="110"/>
      <x:c r="G4" s="110"/>
      <x:c r="H4" s="110"/>
      <x:c r="I4" s="90"/>
      <x:c r="J4" s="90"/>
    </x:row>
    <x:row r="5" ht="21" hidden="0" customHeight="1">
      <x:c r="A5" s="90"/>
      <x:c r="B5" s="90" t="str">
        <x:v>Fiscal period</x:v>
      </x:c>
      <x:c r="C5" s="127" t="str">
        <x:v>H2 FY2026E</x:v>
      </x:c>
      <x:c r="D5" s="90" t="str">
        <x:v>FY2027E</x:v>
      </x:c>
      <x:c r="E5" s="90" t="str">
        <x:v>FY2028E</x:v>
      </x:c>
      <x:c r="F5" s="90" t="str">
        <x:v>FY2029E</x:v>
      </x:c>
      <x:c r="G5" s="90" t="str">
        <x:v>FY2030E</x:v>
      </x:c>
      <x:c r="H5" s="90"/>
      <x:c r="I5" s="90"/>
      <x:c r="J5" s="90"/>
    </x:row>
    <x:row r="6" ht="21" hidden="0" customHeight="1">
      <x:c r="A6" s="90"/>
      <x:c r="B6" s="90" t="str">
        <x:v>Period end</x:v>
      </x:c>
      <x:c r="C6" s="189" t="n">
        <x:v>46387</x:v>
      </x:c>
      <x:c r="D6" s="95" t="n">
        <x:v>46752</x:v>
      </x:c>
      <x:c r="E6" s="95" t="n">
        <x:v>47118</x:v>
      </x:c>
      <x:c r="F6" s="95" t="n">
        <x:v>47483</x:v>
      </x:c>
      <x:c r="G6" s="95" t="n">
        <x:v>47848</x:v>
      </x:c>
      <x:c r="H6" s="90"/>
      <x:c r="I6" s="90"/>
      <x:c r="J6" s="90"/>
    </x:row>
    <x:row r="7" ht="21" hidden="0" customHeight="1">
      <x:c r="A7" s="90"/>
      <x:c r="B7" s="90" t="str">
        <x:v>Period length / years</x:v>
      </x:c>
      <x:c r="C7" s="191" t="n">
        <x:f>(C6-'Source Inputs'!$C$6)/365</x:f>
        <x:v>0.5041095890410959</x:v>
      </x:c>
      <x:c r="D7" s="190" t="n">
        <x:f>(D6-C6)/365</x:f>
        <x:v>1</x:v>
      </x:c>
      <x:c r="E7" s="190" t="n">
        <x:f>(E6-D6)/365</x:f>
        <x:v>1.0027397260273974</x:v>
      </x:c>
      <x:c r="F7" s="190" t="n">
        <x:f>(F6-E6)/365</x:f>
        <x:v>1</x:v>
      </x:c>
      <x:c r="G7" s="190" t="n">
        <x:f>(G6-F6)/365</x:f>
        <x:v>1</x:v>
      </x:c>
      <x:c r="H7" s="90"/>
      <x:c r="I7" s="90"/>
      <x:c r="J7" s="90"/>
    </x:row>
    <x:row r="8" ht="25" hidden="0" customHeight="1">
      <x:c r="A8" s="110"/>
      <x:c r="B8" s="105" t="str">
        <x:v>Earnings</x:v>
      </x:c>
      <x:c r="C8" s="105"/>
      <x:c r="D8" s="105"/>
      <x:c r="E8" s="105"/>
      <x:c r="F8" s="105"/>
      <x:c r="G8" s="105"/>
      <x:c r="H8" s="105"/>
      <x:c r="I8" s="105"/>
      <x:c r="J8" s="105"/>
    </x:row>
    <x:row r="9" ht="21" hidden="0" customHeight="1">
      <x:c r="A9" s="90"/>
      <x:c r="B9" s="110" t="str">
        <x:v>Full-year revenue</x:v>
      </x:c>
      <x:c r="C9" s="192" t="n">
        <x:f>'Assumptions'!$F$10</x:f>
        <x:v>1188.9</x:v>
      </x:c>
      <x:c r="D9" s="192" t="n">
        <x:f>C9*(1+'Assumptions'!$F$11)</x:f>
        <x:v>1212.678</x:v>
      </x:c>
      <x:c r="E9" s="192" t="n">
        <x:f>D9*(1+'Assumptions'!$F$11)</x:f>
        <x:v>1236.9315600000002</x:v>
      </x:c>
      <x:c r="F9" s="192" t="n">
        <x:f>E9*(1+'Assumptions'!$F$11)</x:f>
        <x:v>1261.6701912000003</x:v>
      </x:c>
      <x:c r="G9" s="192" t="n">
        <x:f>F9*(1+'Assumptions'!$F$11)</x:f>
        <x:v>1286.9035950240004</x:v>
      </x:c>
      <x:c r="H9" s="90"/>
      <x:c r="I9" s="90"/>
      <x:c r="J9" s="90"/>
    </x:row>
    <x:row r="10" ht="21" hidden="0" customHeight="1">
      <x:c r="A10" s="90"/>
      <x:c r="B10" s="90" t="str">
        <x:v>Revenue in forecast period</x:v>
      </x:c>
      <x:c r="C10" s="194" t="n">
        <x:f>C9-'Source Inputs'!$C$25</x:f>
        <x:v>634.5210000000001</x:v>
      </x:c>
      <x:c r="D10" s="193" t="n">
        <x:f>D9</x:f>
        <x:v>1212.678</x:v>
      </x:c>
      <x:c r="E10" s="193" t="n">
        <x:f>E9</x:f>
        <x:v>1236.9315600000002</x:v>
      </x:c>
      <x:c r="F10" s="193" t="n">
        <x:f>F9</x:f>
        <x:v>1261.6701912000003</x:v>
      </x:c>
      <x:c r="G10" s="193" t="n">
        <x:f>G9</x:f>
        <x:v>1286.9035950240004</x:v>
      </x:c>
      <x:c r="H10" s="90"/>
      <x:c r="I10" s="90"/>
      <x:c r="J10" s="90"/>
    </x:row>
    <x:row r="11" ht="21" hidden="0" customHeight="1">
      <x:c r="A11" s="90"/>
      <x:c r="B11" s="110" t="str">
        <x:v>Adjusted EBITDA</x:v>
      </x:c>
      <x:c r="C11" s="192" t="n">
        <x:f aca="0">C9*'Assumptions'!$F$12-'Source Inputs'!$C$26</x:f>
        <x:v>208.14670000000004</x:v>
      </x:c>
      <x:c r="D11" s="192" t="n">
        <x:f aca="0">D10*'Assumptions'!$F$12</x:f>
        <x:v>355.314654</x:v>
      </x:c>
      <x:c r="E11" s="192" t="n">
        <x:f aca="0">E10*'Assumptions'!$F$12</x:f>
        <x:v>362.42094708</x:v>
      </x:c>
      <x:c r="F11" s="192" t="n">
        <x:f aca="0">F10*'Assumptions'!$F$12</x:f>
        <x:v>369.66936602160007</x:v>
      </x:c>
      <x:c r="G11" s="192" t="n">
        <x:f aca="0">G10*'Assumptions'!$F$12</x:f>
        <x:v>377.0627533420321</x:v>
      </x:c>
      <x:c r="H11" s="90"/>
      <x:c r="I11" s="90"/>
      <x:c r="J11" s="90"/>
    </x:row>
    <x:row r="12" ht="21" hidden="0" customHeight="1">
      <x:c r="A12" s="90"/>
      <x:c r="B12" s="124" t="str">
        <x:v>Less stock compensation</x:v>
      </x:c>
      <x:c r="C12" s="194" t="n">
        <x:f aca="0">-C10*'Assumptions'!$F$13</x:f>
        <x:v>-22.208235000000005</x:v>
      </x:c>
      <x:c r="D12" s="194" t="n">
        <x:f aca="0">-D10*'Assumptions'!$F$13</x:f>
        <x:v>-42.44373000000001</x:v>
      </x:c>
      <x:c r="E12" s="194" t="n">
        <x:f aca="0">-E10*'Assumptions'!$F$13</x:f>
        <x:v>-43.29260460000001</x:v>
      </x:c>
      <x:c r="F12" s="194" t="n">
        <x:f aca="0">-F10*'Assumptions'!$F$13</x:f>
        <x:v>-44.158456692000016</x:v>
      </x:c>
      <x:c r="G12" s="194" t="n">
        <x:f aca="0">-G10*'Assumptions'!$F$13</x:f>
        <x:v>-45.04162582584002</x:v>
      </x:c>
      <x:c r="H12" s="90"/>
      <x:c r="I12" s="90"/>
      <x:c r="J12" s="90"/>
    </x:row>
    <x:row r="13" ht="21" hidden="0" customHeight="1">
      <x:c r="A13" s="90"/>
      <x:c r="B13" s="110" t="str">
        <x:v>Less recurring transaction costs</x:v>
      </x:c>
      <x:c r="C13" s="192" t="n">
        <x:f aca="0">-C10*'Assumptions'!$F$14</x:f>
        <x:v>-9.517815</x:v>
      </x:c>
      <x:c r="D13" s="192" t="n">
        <x:f aca="0">-D10*'Assumptions'!$F$14</x:f>
        <x:v>-18.190170000000002</x:v>
      </x:c>
      <x:c r="E13" s="192" t="n">
        <x:f aca="0">-E10*'Assumptions'!$F$14</x:f>
        <x:v>-18.553973400000004</x:v>
      </x:c>
      <x:c r="F13" s="192" t="n">
        <x:f aca="0">-F10*'Assumptions'!$F$14</x:f>
        <x:v>-18.925052868000005</x:v>
      </x:c>
      <x:c r="G13" s="192" t="n">
        <x:f aca="0">-G10*'Assumptions'!$F$14</x:f>
        <x:v>-19.303553925360006</x:v>
      </x:c>
      <x:c r="H13" s="90"/>
      <x:c r="I13" s="90"/>
      <x:c r="J13" s="90"/>
    </x:row>
    <x:row r="14" ht="21" hidden="0" customHeight="1">
      <x:c r="A14" s="90"/>
      <x:c r="B14" s="90" t="str">
        <x:v>Economic EBITDA</x:v>
      </x:c>
      <x:c r="C14" s="137" t="n">
        <x:f aca="0">SUM(C11:C13)</x:f>
        <x:v>176.42065000000002</x:v>
      </x:c>
      <x:c r="D14" s="137" t="n">
        <x:f aca="0">SUM(D11:D13)</x:f>
        <x:v>294.680754</x:v>
      </x:c>
      <x:c r="E14" s="137" t="n">
        <x:f aca="0">SUM(E11:E13)</x:f>
        <x:v>300.57436908</x:v>
      </x:c>
      <x:c r="F14" s="137" t="n">
        <x:f aca="0">SUM(F11:F13)</x:f>
        <x:v>306.58585646160003</x:v>
      </x:c>
      <x:c r="G14" s="137" t="n">
        <x:f aca="0">SUM(G11:G13)</x:f>
        <x:v>312.7175735908321</x:v>
      </x:c>
      <x:c r="H14" s="90"/>
      <x:c r="I14" s="90"/>
      <x:c r="J14" s="90"/>
    </x:row>
    <x:row r="15" ht="21" hidden="0" customHeight="1">
      <x:c r="A15" s="90"/>
      <x:c r="B15" s="110" t="str">
        <x:v>PP&amp;E depreciation</x:v>
      </x:c>
      <x:c r="C15" s="192" t="n">
        <x:f aca="0">MIN(MAX(0,'Source Inputs'!$C$18-C40),MAX(0,C10*'Assumptions'!$F$15))</x:f>
        <x:v>41.24386500000001</x:v>
      </x:c>
      <x:c r="D15" s="192" t="n">
        <x:f aca="0">MIN(MAX(0,C50-D40),MAX(0,D10*'Assumptions'!$F$15))</x:f>
        <x:v>78.82407</x:v>
      </x:c>
      <x:c r="E15" s="192" t="n">
        <x:f aca="0">MIN(MAX(0,D50-E40),MAX(0,E10*'Assumptions'!$F$15))</x:f>
        <x:v>80.40055140000001</x:v>
      </x:c>
      <x:c r="F15" s="192" t="n">
        <x:f aca="0">MIN(MAX(0,E50-F40),MAX(0,F10*'Assumptions'!$F$15))</x:f>
        <x:v>82.00856242800002</x:v>
      </x:c>
      <x:c r="G15" s="192" t="n">
        <x:f aca="0">MIN(MAX(0,F50-G40),MAX(0,G10*'Assumptions'!$F$15))</x:f>
        <x:v>83.64873367656003</x:v>
      </x:c>
      <x:c r="H15" s="90"/>
      <x:c r="I15" s="90"/>
      <x:c r="J15" s="90"/>
    </x:row>
    <x:row r="16" ht="21" hidden="0" customHeight="1">
      <x:c r="A16" s="90"/>
      <x:c r="B16" s="90" t="str">
        <x:v>Acquired-intangible amortization</x:v>
      </x:c>
      <x:c r="C16" s="195" t="n">
        <x:f aca="0">MIN(MAX(0,'Source Inputs'!$C$19),'Source Inputs'!$C$19/'Assumptions'!$C$35*C7)</x:f>
        <x:v>37.02344657534247</x:v>
      </x:c>
      <x:c r="D16" s="195" t="n">
        <x:f aca="0">MIN(MAX(0,C51),'Source Inputs'!$C$19/'Assumptions'!$C$35*D7)</x:f>
        <x:v>73.44325</x:v>
      </x:c>
      <x:c r="E16" s="195" t="n">
        <x:f aca="0">MIN(MAX(0,D51),'Source Inputs'!$C$19/'Assumptions'!$C$35*E7)</x:f>
        <x:v>73.64446438356165</x:v>
      </x:c>
      <x:c r="F16" s="195" t="n">
        <x:f aca="0">MIN(MAX(0,E51),'Source Inputs'!$C$19/'Assumptions'!$C$35*F7)</x:f>
        <x:v>73.44325</x:v>
      </x:c>
      <x:c r="G16" s="195" t="n">
        <x:f aca="0">MIN(MAX(0,F51),'Source Inputs'!$C$19/'Assumptions'!$C$35*G7)</x:f>
        <x:v>36.218589041095896</x:v>
      </x:c>
      <x:c r="H16" s="90"/>
      <x:c r="I16" s="90"/>
      <x:c r="J16" s="90"/>
    </x:row>
    <x:row r="17" ht="21" hidden="0" customHeight="1">
      <x:c r="A17" s="90"/>
      <x:c r="B17" s="110" t="str">
        <x:v>Economic EBIT</x:v>
      </x:c>
      <x:c r="C17" s="140" t="n">
        <x:f aca="0">C14-C15-C16</x:f>
        <x:v>98.15333842465756</x:v>
      </x:c>
      <x:c r="D17" s="140" t="n">
        <x:f aca="0">D14-D15-D16</x:f>
        <x:v>142.41343399999997</x:v>
      </x:c>
      <x:c r="E17" s="140" t="n">
        <x:f aca="0">E14-E15-E16</x:f>
        <x:v>146.52935329643833</x:v>
      </x:c>
      <x:c r="F17" s="140" t="n">
        <x:f aca="0">F14-F15-F16</x:f>
        <x:v>151.13404403360002</x:v>
      </x:c>
      <x:c r="G17" s="140" t="n">
        <x:f aca="0">G14-G15-G16</x:f>
        <x:v>192.85025087317618</x:v>
      </x:c>
      <x:c r="H17" s="90"/>
      <x:c r="I17" s="90"/>
      <x:c r="J17" s="90"/>
    </x:row>
    <x:row r="18" ht="21" hidden="0" customHeight="1">
      <x:c r="A18" s="90"/>
      <x:c r="B18" s="90" t="str">
        <x:v>Net interest income / (expense)</x:v>
      </x:c>
      <x:c r="C18" s="195" t="n">
        <x:f aca="0">C38*'Assumptions'!$C$36*C7-C35*'Assumptions'!$F$22*C7</x:f>
        <x:v>-1.953444821917806</x:v>
      </x:c>
      <x:c r="D18" s="195" t="n">
        <x:f aca="0">D38*'Assumptions'!$C$36*D7-D35*'Assumptions'!$F$22*D7</x:f>
        <x:v>-8.702857729282194</x:v>
      </x:c>
      <x:c r="E18" s="195" t="n">
        <x:f aca="0">E38*'Assumptions'!$C$36*E7-E35*'Assumptions'!$F$22*E7</x:f>
        <x:v>-7.34685997822848</x:v>
      </x:c>
      <x:c r="F18" s="195" t="n">
        <x:f aca="0">F38*'Assumptions'!$C$36*F7-F35*'Assumptions'!$F$22*F7</x:f>
        <x:v>-5.8197646282710735</x:v>
      </x:c>
      <x:c r="G18" s="195" t="n">
        <x:f aca="0">G38*'Assumptions'!$C$36*G7-G35*'Assumptions'!$F$22*G7</x:f>
        <x:v>-4.153912488829576</x:v>
      </x:c>
      <x:c r="H18" s="90"/>
      <x:c r="I18" s="90"/>
      <x:c r="J18" s="90"/>
    </x:row>
    <x:row r="19" ht="21" hidden="0" customHeight="1">
      <x:c r="A19" s="90"/>
      <x:c r="B19" s="90" t="str">
        <x:v>Normalized pre-tax earnings</x:v>
      </x:c>
      <x:c r="C19" s="137" t="n">
        <x:f aca="0">C17+C18</x:f>
        <x:v>96.19989360273976</x:v>
      </x:c>
      <x:c r="D19" s="137" t="n">
        <x:f aca="0">D17+D18</x:f>
        <x:v>133.71057627071778</x:v>
      </x:c>
      <x:c r="E19" s="137" t="n">
        <x:f aca="0">E17+E18</x:f>
        <x:v>139.18249331820985</x:v>
      </x:c>
      <x:c r="F19" s="137" t="n">
        <x:f aca="0">F17+F18</x:f>
        <x:v>145.31427940532893</x:v>
      </x:c>
      <x:c r="G19" s="137" t="n">
        <x:f aca="0">G17+G18</x:f>
        <x:v>188.6963383843466</x:v>
      </x:c>
      <x:c r="H19" s="90"/>
      <x:c r="I19" s="90"/>
      <x:c r="J19" s="90"/>
    </x:row>
    <x:row r="20" ht="21" hidden="0" customHeight="1">
      <x:c r="A20" s="90"/>
      <x:c r="B20" s="110" t="str">
        <x:v>Cash taxes on forecast earnings</x:v>
      </x:c>
      <x:c r="C20" s="192" t="n">
        <x:f aca="0">-MAX(0,C19)*'Assumptions'!$F$17</x:f>
        <x:v>-23.08797446465754</x:v>
      </x:c>
      <x:c r="D20" s="192" t="n">
        <x:f aca="0">-MAX(0,D19)*'Assumptions'!$F$17</x:f>
        <x:v>-32.09053830497226</x:v>
      </x:c>
      <x:c r="E20" s="192" t="n">
        <x:f aca="0">-MAX(0,E19)*'Assumptions'!$F$17</x:f>
        <x:v>-33.40379839637036</x:v>
      </x:c>
      <x:c r="F20" s="192" t="n">
        <x:f aca="0">-MAX(0,F19)*'Assumptions'!$F$17</x:f>
        <x:v>-34.87542705727894</x:v>
      </x:c>
      <x:c r="G20" s="192" t="n">
        <x:f aca="0">-MAX(0,G19)*'Assumptions'!$F$17</x:f>
        <x:v>-45.287121212243186</x:v>
      </x:c>
      <x:c r="H20" s="90"/>
      <x:c r="I20" s="90"/>
      <x:c r="J20" s="90"/>
    </x:row>
    <x:row r="21" ht="21" hidden="0" customHeight="1">
      <x:c r="A21" s="90"/>
      <x:c r="B21" s="90" t="str">
        <x:v>Normalized net income</x:v>
      </x:c>
      <x:c r="C21" s="137" t="n">
        <x:f aca="0">C19+C20</x:f>
        <x:v>73.11191913808221</x:v>
      </x:c>
      <x:c r="D21" s="137" t="n">
        <x:f aca="0">D19+D20</x:f>
        <x:v>101.62003796574552</x:v>
      </x:c>
      <x:c r="E21" s="137" t="n">
        <x:f aca="0">E19+E20</x:f>
        <x:v>105.77869492183949</x:v>
      </x:c>
      <x:c r="F21" s="137" t="n">
        <x:f aca="0">F19+F20</x:f>
        <x:v>110.43885234804999</x:v>
      </x:c>
      <x:c r="G21" s="137" t="n">
        <x:f aca="0">G19+G20</x:f>
        <x:v>143.4092171721034</x:v>
      </x:c>
      <x:c r="H21" s="90"/>
      <x:c r="I21" s="90"/>
      <x:c r="J21" s="90"/>
    </x:row>
    <x:row r="22" ht="21" hidden="0" customHeight="1">
      <x:c r="A22" s="90"/>
      <x:c r="B22" s="110" t="str">
        <x:v>Beginning diluted shares</x:v>
      </x:c>
      <x:c r="C22" s="192" t="n">
        <x:f aca="0">'Source Inputs'!$C$8</x:f>
        <x:v>34.3</x:v>
      </x:c>
      <x:c r="D22" s="140" t="n">
        <x:f aca="0">C25</x:f>
        <x:v>33.34114536164875</x:v>
      </x:c>
      <x:c r="E22" s="140" t="n">
        <x:f aca="0">D25</x:f>
        <x:v>31.41015308157694</x:v>
      </x:c>
      <x:c r="F22" s="140" t="n">
        <x:f aca="0">E25</x:f>
        <x:v>29.487022842723988</x:v>
      </x:c>
      <x:c r="G22" s="140" t="n">
        <x:f aca="0">F25</x:f>
        <x:v>27.586815602005856</x:v>
      </x:c>
      <x:c r="H22" s="90"/>
      <x:c r="I22" s="90"/>
      <x:c r="J22" s="90"/>
    </x:row>
    <x:row r="23" ht="21" hidden="0" customHeight="1">
      <x:c r="A23" s="90"/>
      <x:c r="B23" s="90" t="str">
        <x:v>Shares issued for SBC</x:v>
      </x:c>
      <x:c r="C23" s="195" t="n">
        <x:f aca="0">IF('Source Inputs'!$C$7&gt;0,-C12/'Source Inputs'!$C$7,0)</x:f>
        <x:v>0.3987115798922802</x:v>
      </x:c>
      <x:c r="D23" s="195" t="n">
        <x:f aca="0">IF('Source Inputs'!$C$7&gt;0,-D12/'Source Inputs'!$C$7,0)</x:f>
        <x:v>0.7620059245960504</x:v>
      </x:c>
      <x:c r="E23" s="195" t="n">
        <x:f aca="0">IF('Source Inputs'!$C$7&gt;0,-E12/'Source Inputs'!$C$7,0)</x:f>
        <x:v>0.7772460430879714</x:v>
      </x:c>
      <x:c r="F23" s="195" t="n">
        <x:f aca="0">IF('Source Inputs'!$C$7&gt;0,-F12/'Source Inputs'!$C$7,0)</x:f>
        <x:v>0.7927909639497309</x:v>
      </x:c>
      <x:c r="G23" s="195" t="n">
        <x:f aca="0">IF('Source Inputs'!$C$7&gt;0,-G12/'Source Inputs'!$C$7,0)</x:f>
        <x:v>0.8086467832287256</x:v>
      </x:c>
      <x:c r="H23" s="90"/>
      <x:c r="I23" s="90"/>
      <x:c r="J23" s="90"/>
    </x:row>
    <x:row r="24" ht="21" hidden="0" customHeight="1">
      <x:c r="A24" s="90"/>
      <x:c r="B24" s="110" t="str">
        <x:v>Shares repurchased</x:v>
      </x:c>
      <x:c r="C24" s="192" t="n">
        <x:f aca="0">IF('Source Inputs'!$C$7&gt;0,-C44/'Source Inputs'!$C$7,0)</x:f>
        <x:v>1.357566218243526</x:v>
      </x:c>
      <x:c r="D24" s="192" t="n">
        <x:f aca="0">IF('Source Inputs'!$C$7&gt;0,-D44/'Source Inputs'!$C$7,0)</x:f>
        <x:v>2.6929982046678633</x:v>
      </x:c>
      <x:c r="E24" s="192" t="n">
        <x:f aca="0">IF('Source Inputs'!$C$7&gt;0,-E44/'Source Inputs'!$C$7,0)</x:f>
        <x:v>2.7003762819409265</x:v>
      </x:c>
      <x:c r="F24" s="192" t="n">
        <x:f aca="0">IF('Source Inputs'!$C$7&gt;0,-F44/'Source Inputs'!$C$7,0)</x:f>
        <x:v>2.6929982046678633</x:v>
      </x:c>
      <x:c r="G24" s="192" t="n">
        <x:f aca="0">IF('Source Inputs'!$C$7&gt;0,-G44/'Source Inputs'!$C$7,0)</x:f>
        <x:v>2.6929982046678633</x:v>
      </x:c>
      <x:c r="H24" s="90"/>
      <x:c r="I24" s="90"/>
      <x:c r="J24" s="90"/>
    </x:row>
    <x:row r="25" ht="21" hidden="0" customHeight="1">
      <x:c r="A25" s="90"/>
      <x:c r="B25" s="90" t="str">
        <x:v>Ending diluted shares</x:v>
      </x:c>
      <x:c r="C25" s="100" t="n">
        <x:f>C22+C23-C24</x:f>
        <x:v>33.34114536164875</x:v>
      </x:c>
      <x:c r="D25" s="100" t="n">
        <x:f>D22+D23-D24</x:f>
        <x:v>31.41015308157694</x:v>
      </x:c>
      <x:c r="E25" s="100" t="n">
        <x:f>E22+E23-E24</x:f>
        <x:v>29.487022842723988</x:v>
      </x:c>
      <x:c r="F25" s="100" t="n">
        <x:f>F22+F23-F24</x:f>
        <x:v>27.586815602005856</x:v>
      </x:c>
      <x:c r="G25" s="100" t="n">
        <x:f>G22+G23-G24</x:f>
        <x:v>25.702464180566718</x:v>
      </x:c>
      <x:c r="H25" s="90"/>
      <x:c r="I25" s="90"/>
      <x:c r="J25" s="90"/>
    </x:row>
    <x:row r="26" ht="21" hidden="0" customHeight="1">
      <x:c r="A26" s="110"/>
      <x:c r="B26" s="110" t="str">
        <x:v>Normalized EPS</x:v>
      </x:c>
      <x:c r="C26" s="196" t="n">
        <x:f>IF(C22+C25&gt;0,C21/((C22+C25)/2),0)</x:f>
        <x:v>2.1617587563659235</x:v>
      </x:c>
      <x:c r="D26" s="196" t="n">
        <x:f>IF(D22+D25&gt;0,D21/((D22+D25)/2),0)</x:f>
        <x:v>3.1387799290186145</x:v>
      </x:c>
      <x:c r="E26" s="196" t="n">
        <x:f>IF(E22+E25&gt;0,E21/((E22+E25)/2),0)</x:f>
        <x:v>3.474009863883644</x:v>
      </x:c>
      <x:c r="F26" s="196" t="n">
        <x:f>IF(F22+F25&gt;0,F21/((F22+F25)/2),0)</x:f>
        <x:v>3.8700341647775693</x:v>
      </x:c>
      <x:c r="G26" s="196" t="n">
        <x:f>IF(G22+G25&gt;0,G21/((G22+G25)/2),0)</x:f>
        <x:v>5.382291438624515</x:v>
      </x:c>
      <x:c r="H26" s="110"/>
      <x:c r="I26" s="90"/>
      <x:c r="J26" s="90"/>
    </x:row>
    <x:row r="27" ht="21" hidden="0" customHeight="1">
      <x:c r="A27" s="90"/>
      <x:c r="B27" s="90"/>
      <x:c r="C27" s="127"/>
      <x:c r="D27" s="127"/>
      <x:c r="E27" s="127"/>
      <x:c r="F27" s="127"/>
      <x:c r="G27" s="127"/>
      <x:c r="H27" s="90"/>
      <x:c r="I27" s="90"/>
      <x:c r="J27" s="90"/>
    </x:row>
    <x:row r="28" ht="25" hidden="0" customHeight="1">
      <x:c r="A28" s="90"/>
      <x:c r="B28" s="105" t="str">
        <x:v>Working capital</x:v>
      </x:c>
      <x:c r="C28" s="188"/>
      <x:c r="D28" s="188"/>
      <x:c r="E28" s="188"/>
      <x:c r="F28" s="188"/>
      <x:c r="G28" s="188"/>
      <x:c r="H28" s="105"/>
      <x:c r="I28" s="105"/>
      <x:c r="J28" s="105"/>
    </x:row>
    <x:row r="29" ht="21" hidden="0" customHeight="1">
      <x:c r="A29" s="90"/>
      <x:c r="B29" s="110" t="str">
        <x:v>Operating current assets</x:v>
      </x:c>
      <x:c r="C29" s="192" t="n">
        <x:f aca="0">C9*'Assumptions'!$F$18</x:f>
        <x:v>701.451</x:v>
      </x:c>
      <x:c r="D29" s="192" t="n">
        <x:f aca="0">D9*'Assumptions'!$F$18</x:f>
        <x:v>715.4800200000001</x:v>
      </x:c>
      <x:c r="E29" s="192" t="n">
        <x:f aca="0">E9*'Assumptions'!$F$18</x:f>
        <x:v>729.7896204000001</x:v>
      </x:c>
      <x:c r="F29" s="192" t="n">
        <x:f aca="0">F9*'Assumptions'!$F$18</x:f>
        <x:v>744.3854128080002</x:v>
      </x:c>
      <x:c r="G29" s="192" t="n">
        <x:f aca="0">G9*'Assumptions'!$F$18</x:f>
        <x:v>759.2731210641603</x:v>
      </x:c>
      <x:c r="H29" s="90"/>
      <x:c r="I29" s="90"/>
      <x:c r="J29" s="90"/>
    </x:row>
    <x:row r="30" ht="21" hidden="0" customHeight="1">
      <x:c r="A30" s="90"/>
      <x:c r="B30" s="90" t="str">
        <x:v>Operating current liabilities</x:v>
      </x:c>
      <x:c r="C30" s="195" t="n">
        <x:f aca="0">C9*'Assumptions'!$F$19</x:f>
        <x:v>832.23</x:v>
      </x:c>
      <x:c r="D30" s="195" t="n">
        <x:f aca="0">D9*'Assumptions'!$F$19</x:f>
        <x:v>848.8746</x:v>
      </x:c>
      <x:c r="E30" s="195" t="n">
        <x:f aca="0">E9*'Assumptions'!$F$19</x:f>
        <x:v>865.8520920000001</x:v>
      </x:c>
      <x:c r="F30" s="195" t="n">
        <x:f aca="0">F9*'Assumptions'!$F$19</x:f>
        <x:v>883.1691338400002</x:v>
      </x:c>
      <x:c r="G30" s="195" t="n">
        <x:f aca="0">G9*'Assumptions'!$F$19</x:f>
        <x:v>900.8325165168002</x:v>
      </x:c>
      <x:c r="H30" s="90"/>
      <x:c r="I30" s="90"/>
      <x:c r="J30" s="90"/>
    </x:row>
    <x:row r="31" ht="21" hidden="0" customHeight="1">
      <x:c r="A31" s="90"/>
      <x:c r="B31" s="90" t="str">
        <x:v>Net working capital</x:v>
      </x:c>
      <x:c r="C31" s="137" t="n">
        <x:f aca="0">C29-C30</x:f>
        <x:v>-130.779</x:v>
      </x:c>
      <x:c r="D31" s="137" t="n">
        <x:f aca="0">D29-D30</x:f>
        <x:v>-133.3945799999999</x:v>
      </x:c>
      <x:c r="E31" s="137" t="n">
        <x:f aca="0">E29-E30</x:f>
        <x:v>-136.06247159999998</x:v>
      </x:c>
      <x:c r="F31" s="137" t="n">
        <x:f aca="0">F29-F30</x:f>
        <x:v>-138.78372103200002</x:v>
      </x:c>
      <x:c r="G31" s="137" t="n">
        <x:f aca="0">G29-G30</x:f>
        <x:v>-141.55939545263993</x:v>
      </x:c>
      <x:c r="H31" s="90"/>
      <x:c r="I31" s="90"/>
      <x:c r="J31" s="90"/>
    </x:row>
    <x:row r="32" ht="21" hidden="0" customHeight="1">
      <x:c r="A32" s="90"/>
      <x:c r="B32" s="110" t="str">
        <x:v>Cash from working capital changes</x:v>
      </x:c>
      <x:c r="C32" s="192" t="n">
        <x:f aca="0">('Source Inputs'!$C$16-'Source Inputs'!$C$17)-C31</x:f>
        <x:v>-19.326999999999998</x:v>
      </x:c>
      <x:c r="D32" s="140" t="n">
        <x:f aca="0">C31-D31</x:f>
        <x:v>2.615579999999909</x:v>
      </x:c>
      <x:c r="E32" s="140" t="n">
        <x:f aca="0">D31-E31</x:f>
        <x:v>2.6678916000000754</x:v>
      </x:c>
      <x:c r="F32" s="140" t="n">
        <x:f aca="0">E31-F31</x:f>
        <x:v>2.721249432000036</x:v>
      </x:c>
      <x:c r="G32" s="140" t="n">
        <x:f aca="0">F31-G31</x:f>
        <x:v>2.775674420639916</x:v>
      </x:c>
      <x:c r="H32" s="90"/>
      <x:c r="I32" s="90"/>
      <x:c r="J32" s="90"/>
    </x:row>
    <x:row r="33" ht="21" hidden="0" customHeight="1">
      <x:c r="A33" s="90"/>
      <x:c r="B33" s="110"/>
      <x:c r="C33" s="118"/>
      <x:c r="D33" s="118"/>
      <x:c r="E33" s="118"/>
      <x:c r="F33" s="118"/>
      <x:c r="G33" s="118"/>
      <x:c r="H33" s="90"/>
      <x:c r="I33" s="90"/>
      <x:c r="J33" s="90"/>
    </x:row>
    <x:row r="34" ht="25" hidden="0" customHeight="1">
      <x:c r="A34" s="90"/>
      <x:c r="B34" s="105" t="str">
        <x:v>Debt and cash</x:v>
      </x:c>
      <x:c r="C34" s="105"/>
      <x:c r="D34" s="105"/>
      <x:c r="E34" s="105"/>
      <x:c r="F34" s="105"/>
      <x:c r="G34" s="105"/>
      <x:c r="H34" s="105"/>
      <x:c r="I34" s="105"/>
      <x:c r="J34" s="105"/>
    </x:row>
    <x:row r="35" ht="21" hidden="0" customHeight="1">
      <x:c r="A35" s="110"/>
      <x:c r="B35" s="110" t="str">
        <x:v>Beginning debt</x:v>
      </x:c>
      <x:c r="C35" s="198" t="n">
        <x:f>'Source Inputs'!$C$40</x:f>
        <x:v>867.64</x:v>
      </x:c>
      <x:c r="D35" s="197" t="n">
        <x:f>C37</x:f>
        <x:v>867.64</x:v>
      </x:c>
      <x:c r="E35" s="197" t="n">
        <x:f>D37</x:f>
        <x:v>867.64</x:v>
      </x:c>
      <x:c r="F35" s="197" t="n">
        <x:f>E37</x:f>
        <x:v>867.64</x:v>
      </x:c>
      <x:c r="G35" s="197" t="n">
        <x:f>F37</x:f>
        <x:v>867.64</x:v>
      </x:c>
      <x:c r="H35" s="110"/>
      <x:c r="I35" s="90"/>
      <x:c r="J35" s="90"/>
    </x:row>
    <x:row r="36" ht="21" hidden="0" customHeight="1">
      <x:c r="A36" s="90"/>
      <x:c r="B36" s="90" t="str">
        <x:v>Debt change: borrowing / (repayment)</x:v>
      </x:c>
      <x:c r="C36" s="139" t="n">
        <x:v>0</x:v>
      </x:c>
      <x:c r="D36" s="139" t="n">
        <x:v>0</x:v>
      </x:c>
      <x:c r="E36" s="139" t="n">
        <x:v>0</x:v>
      </x:c>
      <x:c r="F36" s="139" t="n">
        <x:v>0</x:v>
      </x:c>
      <x:c r="G36" s="139" t="n">
        <x:v>0</x:v>
      </x:c>
      <x:c r="H36" s="90"/>
      <x:c r="I36" s="90"/>
      <x:c r="J36" s="90"/>
    </x:row>
    <x:row r="37" ht="21" hidden="0" customHeight="1">
      <x:c r="A37" s="90"/>
      <x:c r="B37" s="110" t="str">
        <x:v>Ending debt</x:v>
      </x:c>
      <x:c r="C37" s="140" t="n">
        <x:f aca="0">C35+C36</x:f>
        <x:v>867.64</x:v>
      </x:c>
      <x:c r="D37" s="140" t="n">
        <x:f aca="0">D35+D36</x:f>
        <x:v>867.64</x:v>
      </x:c>
      <x:c r="E37" s="140" t="n">
        <x:f aca="0">E35+E36</x:f>
        <x:v>867.64</x:v>
      </x:c>
      <x:c r="F37" s="140" t="n">
        <x:f aca="0">F35+F36</x:f>
        <x:v>867.64</x:v>
      </x:c>
      <x:c r="G37" s="140" t="n">
        <x:f aca="0">G35+G36</x:f>
        <x:v>867.64</x:v>
      </x:c>
      <x:c r="H37" s="90"/>
      <x:c r="I37" s="90"/>
      <x:c r="J37" s="90"/>
    </x:row>
    <x:row r="38" ht="21" hidden="0" customHeight="1">
      <x:c r="A38" s="90"/>
      <x:c r="B38" s="90" t="str">
        <x:v>Beginning cash</x:v>
      </x:c>
      <x:c r="C38" s="195" t="n">
        <x:f aca="0">'Source Inputs'!$C$9</x:f>
        <x:v>1606.112</x:v>
      </x:c>
      <x:c r="D38" s="137" t="n">
        <x:f aca="0">C45</x:f>
        <x:v>1445.1847423572603</x:v>
      </x:c>
      <x:c r="E38" s="137" t="n">
        <x:f aca="0">D45</x:f>
        <x:v>1491.0537803230059</x:v>
      </x:c>
      <x:c r="F38" s="137" t="n">
        <x:f aca="0">E45</x:f>
        <x:v>1541.2878457242975</x:v>
      </x:c>
      <x:c r="G38" s="137" t="n">
        <x:f aca="0">F45</x:f>
        <x:v>1596.8162503723474</x:v>
      </x:c>
      <x:c r="H38" s="90"/>
      <x:c r="I38" s="90"/>
      <x:c r="J38" s="90"/>
    </x:row>
    <x:row r="39" ht="21" hidden="0" customHeight="1">
      <x:c r="A39" s="90"/>
      <x:c r="B39" s="90" t="str">
        <x:v>Operating cash flow</x:v>
      </x:c>
      <x:c r="C39" s="137" t="n">
        <x:f aca="0">C21+C15+C16-C12+C32</x:f>
        <x:v>154.26046571342468</x:v>
      </x:c>
      <x:c r="D39" s="137" t="n">
        <x:f aca="0">D21+D15+D16-D12+D32</x:f>
        <x:v>298.94666796574546</x:v>
      </x:c>
      <x:c r="E39" s="137" t="n">
        <x:f aca="0">E21+E15+E16-E12+E32</x:f>
        <x:v>305.7842069054012</x:v>
      </x:c>
      <x:c r="F39" s="137" t="n">
        <x:f aca="0">F21+F15+F16-F12+F32</x:f>
        <x:v>312.77037090005007</x:v>
      </x:c>
      <x:c r="G39" s="137" t="n">
        <x:f aca="0">G21+G15+G16-G12+G32</x:f>
        <x:v>311.09384013623924</x:v>
      </x:c>
      <x:c r="H39" s="90"/>
      <x:c r="I39" s="90"/>
      <x:c r="J39" s="90"/>
    </x:row>
    <x:row r="40" ht="21" hidden="0" customHeight="1">
      <x:c r="A40" s="90"/>
      <x:c r="B40" s="90" t="str">
        <x:v>Capital expenditure</x:v>
      </x:c>
      <x:c r="C40" s="195" t="n">
        <x:f aca="0">-C10*'Assumptions'!$F$16</x:f>
        <x:v>-53.93428500000001</x:v>
      </x:c>
      <x:c r="D40" s="195" t="n">
        <x:f aca="0">-D10*'Assumptions'!$F$16</x:f>
        <x:v>-103.07763000000001</x:v>
      </x:c>
      <x:c r="E40" s="195" t="n">
        <x:f aca="0">-E10*'Assumptions'!$F$16</x:f>
        <x:v>-105.13918260000003</x:v>
      </x:c>
      <x:c r="F40" s="195" t="n">
        <x:f aca="0">-F10*'Assumptions'!$F$16</x:f>
        <x:v>-107.24196625200004</x:v>
      </x:c>
      <x:c r="G40" s="195" t="n">
        <x:f aca="0">-G10*'Assumptions'!$F$16</x:f>
        <x:v>-109.38680557704005</x:v>
      </x:c>
      <x:c r="H40" s="90"/>
      <x:c r="I40" s="90"/>
      <x:c r="J40" s="90"/>
    </x:row>
    <x:row r="41" ht="21" hidden="0" customHeight="1">
      <x:c r="A41" s="90"/>
      <x:c r="B41" s="110" t="str">
        <x:v>Acquisition spending</x:v>
      </x:c>
      <x:c r="C41" s="192" t="n">
        <x:f aca="0">-'Assumptions'!$F$21*C7</x:f>
        <x:v>0</x:v>
      </x:c>
      <x:c r="D41" s="192" t="n">
        <x:f aca="0">-'Assumptions'!$F$21*D7</x:f>
        <x:v>0</x:v>
      </x:c>
      <x:c r="E41" s="192" t="n">
        <x:f aca="0">-'Assumptions'!$F$21*E7</x:f>
        <x:v>0</x:v>
      </x:c>
      <x:c r="F41" s="192" t="n">
        <x:f aca="0">-'Assumptions'!$F$21*F7</x:f>
        <x:v>0</x:v>
      </x:c>
      <x:c r="G41" s="192" t="n">
        <x:f aca="0">-'Assumptions'!$F$21*G7</x:f>
        <x:v>0</x:v>
      </x:c>
      <x:c r="H41" s="90"/>
      <x:c r="I41" s="90"/>
      <x:c r="J41" s="90"/>
    </x:row>
    <x:row r="42" ht="21" hidden="0" customHeight="1">
      <x:c r="A42" s="90"/>
      <x:c r="B42" s="90" t="str">
        <x:v>Settlement of opening tax payable</x:v>
      </x:c>
      <x:c r="C42" s="199" t="n">
        <x:f>-'Source Inputs'!$C$14</x:f>
        <x:v>-185.637</x:v>
      </x:c>
      <x:c r="D42" s="100" t="n">
        <x:f>0</x:f>
        <x:v>0</x:v>
      </x:c>
      <x:c r="E42" s="100" t="n">
        <x:f>0</x:f>
        <x:v>0</x:v>
      </x:c>
      <x:c r="F42" s="100" t="n">
        <x:f>0</x:f>
        <x:v>0</x:v>
      </x:c>
      <x:c r="G42" s="100" t="n">
        <x:f>0</x:f>
        <x:v>0</x:v>
      </x:c>
      <x:c r="H42" s="90"/>
      <x:c r="I42" s="90"/>
      <x:c r="J42" s="90"/>
    </x:row>
    <x:row r="43" ht="21" hidden="0" customHeight="1">
      <x:c r="A43" s="110"/>
      <x:c r="B43" s="110" t="str">
        <x:v>Cash available before buybacks</x:v>
      </x:c>
      <x:c r="C43" s="197" t="n">
        <x:f>C38+SUM(C39:C42)+C36</x:f>
        <x:v>1520.8011807134249</x:v>
      </x:c>
      <x:c r="D43" s="197" t="n">
        <x:f>D38+SUM(D39:D42)+D36</x:f>
        <x:v>1641.0537803230059</x:v>
      </x:c>
      <x:c r="E43" s="197" t="n">
        <x:f>E38+SUM(E39:E42)+E36</x:f>
        <x:v>1691.698804628407</x:v>
      </x:c>
      <x:c r="F43" s="197" t="n">
        <x:f>F38+SUM(F39:F42)+F36</x:f>
        <x:v>1746.8162503723474</x:v>
      </x:c>
      <x:c r="G43" s="197" t="n">
        <x:f>G38+SUM(G39:G42)+G36</x:f>
        <x:v>1798.5232849315466</x:v>
      </x:c>
      <x:c r="H43" s="110"/>
      <x:c r="I43" s="90"/>
      <x:c r="J43" s="90"/>
    </x:row>
    <x:row r="44" ht="21" hidden="0" customHeight="1">
      <x:c r="A44" s="90"/>
      <x:c r="B44" s="90" t="str">
        <x:v>Share repurchases</x:v>
      </x:c>
      <x:c r="C44" s="195" t="n">
        <x:f aca="0">-MIN(MAX(0,'Assumptions'!$F$20*C7),MAX(0,C43-'Assumptions'!$C$43))</x:f>
        <x:v>-75.6164383561644</x:v>
      </x:c>
      <x:c r="D44" s="195" t="n">
        <x:f aca="0">-MIN(MAX(0,'Assumptions'!$F$20*D7),MAX(0,D43-'Assumptions'!$C$43))</x:f>
        <x:v>-150</x:v>
      </x:c>
      <x:c r="E44" s="195" t="n">
        <x:f aca="0">-MIN(MAX(0,'Assumptions'!$F$20*E7),MAX(0,E43-'Assumptions'!$C$43))</x:f>
        <x:v>-150.4109589041096</x:v>
      </x:c>
      <x:c r="F44" s="195" t="n">
        <x:f aca="0">-MIN(MAX(0,'Assumptions'!$F$20*F7),MAX(0,F43-'Assumptions'!$C$43))</x:f>
        <x:v>-150</x:v>
      </x:c>
      <x:c r="G44" s="195" t="n">
        <x:f aca="0">-MIN(MAX(0,'Assumptions'!$F$20*G7),MAX(0,G43-'Assumptions'!$C$43))</x:f>
        <x:v>-150</x:v>
      </x:c>
      <x:c r="H44" s="90"/>
      <x:c r="I44" s="90"/>
      <x:c r="J44" s="90"/>
    </x:row>
    <x:row r="45" ht="21" hidden="0" customHeight="1">
      <x:c r="A45" s="90"/>
      <x:c r="B45" s="90" t="str">
        <x:v>Ending cash</x:v>
      </x:c>
      <x:c r="C45" s="137" t="n">
        <x:f aca="0">C43+C44</x:f>
        <x:v>1445.1847423572603</x:v>
      </x:c>
      <x:c r="D45" s="137" t="n">
        <x:f aca="0">D43+D44</x:f>
        <x:v>1491.0537803230059</x:v>
      </x:c>
      <x:c r="E45" s="137" t="n">
        <x:f aca="0">E43+E44</x:f>
        <x:v>1541.2878457242975</x:v>
      </x:c>
      <x:c r="F45" s="137" t="n">
        <x:f aca="0">F43+F44</x:f>
        <x:v>1596.8162503723474</x:v>
      </x:c>
      <x:c r="G45" s="137" t="n">
        <x:f aca="0">G43+G44</x:f>
        <x:v>1648.5232849315466</x:v>
      </x:c>
      <x:c r="H45" s="90"/>
      <x:c r="I45" s="90"/>
      <x:c r="J45" s="90"/>
    </x:row>
    <x:row r="46" ht="21" hidden="0" customHeight="1">
      <x:c r="A46" s="90"/>
      <x:c r="B46" s="110"/>
      <x:c r="C46" s="118"/>
      <x:c r="D46" s="118"/>
      <x:c r="E46" s="118"/>
      <x:c r="F46" s="118"/>
      <x:c r="G46" s="118"/>
      <x:c r="H46" s="90"/>
      <x:c r="I46" s="90"/>
      <x:c r="J46" s="90"/>
    </x:row>
    <x:row r="47" ht="25" hidden="0" customHeight="1">
      <x:c r="A47" s="90"/>
      <x:c r="B47" s="105" t="str">
        <x:v>Assets</x:v>
      </x:c>
      <x:c r="C47" s="188"/>
      <x:c r="D47" s="188"/>
      <x:c r="E47" s="188"/>
      <x:c r="F47" s="188"/>
      <x:c r="G47" s="188"/>
      <x:c r="H47" s="105"/>
      <x:c r="I47" s="105"/>
      <x:c r="J47" s="105"/>
    </x:row>
    <x:row r="48" ht="21" hidden="0" customHeight="1">
      <x:c r="A48" s="90"/>
      <x:c r="B48" s="110" t="str">
        <x:v>Cash</x:v>
      </x:c>
      <x:c r="C48" s="140" t="n">
        <x:f aca="0">C45</x:f>
        <x:v>1445.1847423572603</x:v>
      </x:c>
      <x:c r="D48" s="140" t="n">
        <x:f aca="0">D45</x:f>
        <x:v>1491.0537803230059</x:v>
      </x:c>
      <x:c r="E48" s="140" t="n">
        <x:f aca="0">E45</x:f>
        <x:v>1541.2878457242975</x:v>
      </x:c>
      <x:c r="F48" s="140" t="n">
        <x:f aca="0">F45</x:f>
        <x:v>1596.8162503723474</x:v>
      </x:c>
      <x:c r="G48" s="140" t="n">
        <x:f aca="0">G45</x:f>
        <x:v>1648.5232849315466</x:v>
      </x:c>
      <x:c r="H48" s="90"/>
      <x:c r="I48" s="90"/>
      <x:c r="J48" s="90"/>
    </x:row>
    <x:row r="49" ht="21" hidden="0" customHeight="1">
      <x:c r="A49" s="90"/>
      <x:c r="B49" s="90" t="str">
        <x:v>Operating current assets</x:v>
      </x:c>
      <x:c r="C49" s="137" t="n">
        <x:f aca="0">C29</x:f>
        <x:v>701.451</x:v>
      </x:c>
      <x:c r="D49" s="137" t="n">
        <x:f aca="0">D29</x:f>
        <x:v>715.4800200000001</x:v>
      </x:c>
      <x:c r="E49" s="137" t="n">
        <x:f aca="0">E29</x:f>
        <x:v>729.7896204000001</x:v>
      </x:c>
      <x:c r="F49" s="137" t="n">
        <x:f aca="0">F29</x:f>
        <x:v>744.3854128080002</x:v>
      </x:c>
      <x:c r="G49" s="137" t="n">
        <x:f aca="0">G29</x:f>
        <x:v>759.2731210641603</x:v>
      </x:c>
      <x:c r="H49" s="90"/>
      <x:c r="I49" s="90"/>
      <x:c r="J49" s="90"/>
    </x:row>
    <x:row r="50" ht="21" hidden="0" customHeight="1">
      <x:c r="A50" s="90"/>
      <x:c r="B50" s="90" t="str">
        <x:v>PP&amp;E, net</x:v>
      </x:c>
      <x:c r="C50" s="195" t="n">
        <x:f aca="0">'Source Inputs'!$C$18-C40-C15</x:f>
        <x:v>184.17142</x:v>
      </x:c>
      <x:c r="D50" s="137" t="n">
        <x:f aca="0">C50-D40-D15</x:f>
        <x:v>208.42498</x:v>
      </x:c>
      <x:c r="E50" s="137" t="n">
        <x:f aca="0">D50-E40-E15</x:f>
        <x:v>233.16361120000002</x:v>
      </x:c>
      <x:c r="F50" s="137" t="n">
        <x:f aca="0">E50-F40-F15</x:f>
        <x:v>258.39701502400004</x:v>
      </x:c>
      <x:c r="G50" s="137" t="n">
        <x:f aca="0">F50-G40-G15</x:f>
        <x:v>284.13508692448005</x:v>
      </x:c>
      <x:c r="H50" s="90"/>
      <x:c r="I50" s="90"/>
      <x:c r="J50" s="90"/>
    </x:row>
    <x:row r="51" ht="21" hidden="0" customHeight="1">
      <x:c r="A51" s="90"/>
      <x:c r="B51" s="110" t="str">
        <x:v>Acquired intangibles</x:v>
      </x:c>
      <x:c r="C51" s="192" t="n">
        <x:f aca="0">'Source Inputs'!$C$19-C16</x:f>
        <x:v>256.74955342465756</x:v>
      </x:c>
      <x:c r="D51" s="140" t="n">
        <x:f aca="0">C51-D16</x:f>
        <x:v>183.30630342465756</x:v>
      </x:c>
      <x:c r="E51" s="140" t="n">
        <x:f aca="0">D51-E16</x:f>
        <x:v>109.6618390410959</x:v>
      </x:c>
      <x:c r="F51" s="140" t="n">
        <x:f aca="0">E51-F16</x:f>
        <x:v>36.218589041095896</x:v>
      </x:c>
      <x:c r="G51" s="140" t="n">
        <x:f aca="0">F51-G16</x:f>
        <x:v>0</x:v>
      </x:c>
      <x:c r="H51" s="90"/>
      <x:c r="I51" s="90"/>
      <x:c r="J51" s="90"/>
    </x:row>
    <x:row r="52" ht="21" hidden="0" customHeight="1">
      <x:c r="A52" s="90"/>
      <x:c r="B52" s="110" t="str">
        <x:v>Goodwill</x:v>
      </x:c>
      <x:c r="C52" s="192" t="n">
        <x:f aca="0">'Source Inputs'!$C$20-C41</x:f>
        <x:v>1291.002</x:v>
      </x:c>
      <x:c r="D52" s="140" t="n">
        <x:f aca="0">C52-D41</x:f>
        <x:v>1291.002</x:v>
      </x:c>
      <x:c r="E52" s="140" t="n">
        <x:f aca="0">D52-E41</x:f>
        <x:v>1291.002</x:v>
      </x:c>
      <x:c r="F52" s="140" t="n">
        <x:f aca="0">E52-F41</x:f>
        <x:v>1291.002</x:v>
      </x:c>
      <x:c r="G52" s="140" t="n">
        <x:f aca="0">F52-G41</x:f>
        <x:v>1291.002</x:v>
      </x:c>
      <x:c r="H52" s="90"/>
      <x:c r="I52" s="90"/>
      <x:c r="J52" s="90"/>
    </x:row>
    <x:row r="53" ht="21" hidden="0" customHeight="1">
      <x:c r="A53" s="90"/>
      <x:c r="B53" s="110" t="str">
        <x:v>Other long-term assets</x:v>
      </x:c>
      <x:c r="C53" s="192" t="n">
        <x:f aca="0">'Source Inputs'!$C$21</x:f>
        <x:v>157.009</x:v>
      </x:c>
      <x:c r="D53" s="192" t="n">
        <x:f aca="0">'Source Inputs'!$C$21</x:f>
        <x:v>157.009</x:v>
      </x:c>
      <x:c r="E53" s="192" t="n">
        <x:f aca="0">'Source Inputs'!$C$21</x:f>
        <x:v>157.009</x:v>
      </x:c>
      <x:c r="F53" s="192" t="n">
        <x:f aca="0">'Source Inputs'!$C$21</x:f>
        <x:v>157.009</x:v>
      </x:c>
      <x:c r="G53" s="192" t="n">
        <x:f aca="0">'Source Inputs'!$C$21</x:f>
        <x:v>157.009</x:v>
      </x:c>
      <x:c r="H53" s="90"/>
      <x:c r="I53" s="90"/>
      <x:c r="J53" s="90"/>
    </x:row>
    <x:row r="54" ht="21" hidden="0" customHeight="1">
      <x:c r="A54" s="90"/>
      <x:c r="B54" s="110" t="str">
        <x:v>Total assets</x:v>
      </x:c>
      <x:c r="C54" s="140" t="n">
        <x:f aca="0">SUM(C48:C53)</x:f>
        <x:v>4035.567715781918</x:v>
      </x:c>
      <x:c r="D54" s="140" t="n">
        <x:f aca="0">SUM(D48:D53)</x:f>
        <x:v>4046.2760837476635</x:v>
      </x:c>
      <x:c r="E54" s="140" t="n">
        <x:f aca="0">SUM(E48:E53)</x:f>
        <x:v>4061.9139163653936</x:v>
      </x:c>
      <x:c r="F54" s="140" t="n">
        <x:f aca="0">SUM(F48:F53)</x:f>
        <x:v>4083.828267245444</x:v>
      </x:c>
      <x:c r="G54" s="140" t="n">
        <x:f aca="0">SUM(G48:G53)</x:f>
        <x:v>4139.942492920187</x:v>
      </x:c>
      <x:c r="H54" s="90"/>
      <x:c r="I54" s="90"/>
      <x:c r="J54" s="90"/>
    </x:row>
    <x:row r="55" ht="25" hidden="0" customHeight="1">
      <x:c r="A55" s="90"/>
      <x:c r="B55" s="105" t="str">
        <x:v>Liabilities and equity</x:v>
      </x:c>
      <x:c r="C55" s="105"/>
      <x:c r="D55" s="105"/>
      <x:c r="E55" s="105"/>
      <x:c r="F55" s="105"/>
      <x:c r="G55" s="105"/>
      <x:c r="H55" s="105"/>
      <x:c r="I55" s="105"/>
      <x:c r="J55" s="105"/>
    </x:row>
    <x:row r="56" ht="21" hidden="0" customHeight="1">
      <x:c r="A56" s="90"/>
      <x:c r="B56" s="90" t="str">
        <x:v>Operating current liabilities</x:v>
      </x:c>
      <x:c r="C56" s="100" t="n">
        <x:f>C30</x:f>
        <x:v>832.23</x:v>
      </x:c>
      <x:c r="D56" s="100" t="n">
        <x:f>D30</x:f>
        <x:v>848.8746</x:v>
      </x:c>
      <x:c r="E56" s="100" t="n">
        <x:f>E30</x:f>
        <x:v>865.8520920000001</x:v>
      </x:c>
      <x:c r="F56" s="100" t="n">
        <x:f>F30</x:f>
        <x:v>883.1691338400002</x:v>
      </x:c>
      <x:c r="G56" s="100" t="n">
        <x:f>G30</x:f>
        <x:v>900.8325165168002</x:v>
      </x:c>
      <x:c r="H56" s="90"/>
      <x:c r="I56" s="90"/>
      <x:c r="J56" s="90"/>
    </x:row>
    <x:row r="57" ht="21" hidden="0" customHeight="1">
      <x:c r="A57" s="90"/>
      <x:c r="B57" s="90" t="str">
        <x:v>Funded debt</x:v>
      </x:c>
      <x:c r="C57" s="100" t="n">
        <x:f>C37</x:f>
        <x:v>867.64</x:v>
      </x:c>
      <x:c r="D57" s="100" t="n">
        <x:f>D37</x:f>
        <x:v>867.64</x:v>
      </x:c>
      <x:c r="E57" s="100" t="n">
        <x:f>E37</x:f>
        <x:v>867.64</x:v>
      </x:c>
      <x:c r="F57" s="100" t="n">
        <x:f>F37</x:f>
        <x:v>867.64</x:v>
      </x:c>
      <x:c r="G57" s="100" t="n">
        <x:f>G37</x:f>
        <x:v>867.64</x:v>
      </x:c>
      <x:c r="H57" s="90"/>
      <x:c r="I57" s="90"/>
      <x:c r="J57" s="90"/>
    </x:row>
    <x:row r="58" ht="21" hidden="0" customHeight="1">
      <x:c r="A58" s="90"/>
      <x:c r="B58" s="90" t="str">
        <x:v>Opening tax payable remaining</x:v>
      </x:c>
      <x:c r="C58" s="100" t="n">
        <x:f>0</x:f>
        <x:v>0</x:v>
      </x:c>
      <x:c r="D58" s="100" t="n">
        <x:f>0</x:f>
        <x:v>0</x:v>
      </x:c>
      <x:c r="E58" s="100" t="n">
        <x:f>0</x:f>
        <x:v>0</x:v>
      </x:c>
      <x:c r="F58" s="100" t="n">
        <x:f>0</x:f>
        <x:v>0</x:v>
      </x:c>
      <x:c r="G58" s="100" t="n">
        <x:f>0</x:f>
        <x:v>0</x:v>
      </x:c>
      <x:c r="H58" s="90"/>
      <x:c r="I58" s="90"/>
      <x:c r="J58" s="90"/>
    </x:row>
    <x:row r="59" ht="21" hidden="0" customHeight="1">
      <x:c r="A59" s="90"/>
      <x:c r="B59" s="90" t="str">
        <x:v>Other long-term liabilities</x:v>
      </x:c>
      <x:c r="C59" s="199" t="n">
        <x:f>'Source Inputs'!$C$22</x:f>
        <x:v>78.536</x:v>
      </x:c>
      <x:c r="D59" s="199" t="n">
        <x:f>'Source Inputs'!$C$22</x:f>
        <x:v>78.536</x:v>
      </x:c>
      <x:c r="E59" s="199" t="n">
        <x:f>'Source Inputs'!$C$22</x:f>
        <x:v>78.536</x:v>
      </x:c>
      <x:c r="F59" s="199" t="n">
        <x:f>'Source Inputs'!$C$22</x:f>
        <x:v>78.536</x:v>
      </x:c>
      <x:c r="G59" s="199" t="n">
        <x:f>'Source Inputs'!$C$22</x:f>
        <x:v>78.536</x:v>
      </x:c>
      <x:c r="H59" s="90"/>
      <x:c r="I59" s="90"/>
      <x:c r="J59" s="90"/>
    </x:row>
    <x:row r="60" ht="21" hidden="0" customHeight="1">
      <x:c r="A60" s="90"/>
      <x:c r="B60" s="90" t="str">
        <x:v>Total liabilities</x:v>
      </x:c>
      <x:c r="C60" s="100" t="n">
        <x:f>SUM(C56:C59)</x:f>
        <x:v>1778.406</x:v>
      </x:c>
      <x:c r="D60" s="100" t="n">
        <x:f>SUM(D56:D59)</x:f>
        <x:v>1795.0506</x:v>
      </x:c>
      <x:c r="E60" s="100" t="n">
        <x:f>SUM(E56:E59)</x:f>
        <x:v>1812.028092</x:v>
      </x:c>
      <x:c r="F60" s="100" t="n">
        <x:f>SUM(F56:F59)</x:f>
        <x:v>1829.3451338400002</x:v>
      </x:c>
      <x:c r="G60" s="100" t="n">
        <x:f>SUM(G56:G59)</x:f>
        <x:v>1847.0085165168002</x:v>
      </x:c>
      <x:c r="H60" s="90"/>
      <x:c r="I60" s="90"/>
      <x:c r="J60" s="90"/>
    </x:row>
    <x:row r="61" ht="21" hidden="0" customHeight="1">
      <x:c r="A61" s="90"/>
      <x:c r="B61" s="90" t="str">
        <x:v>Shareholders’ equity</x:v>
      </x:c>
      <x:c r="C61" s="199" t="n">
        <x:f>'Source Inputs'!$C$23+C21-C12+C44</x:f>
        <x:v>2257.161715781918</x:v>
      </x:c>
      <x:c r="D61" s="100" t="n">
        <x:f>C61+D21-D12+D44</x:f>
        <x:v>2251.2254837476635</x:v>
      </x:c>
      <x:c r="E61" s="100" t="n">
        <x:f>D61+E21-E12+E44</x:f>
        <x:v>2249.8858243653935</x:v>
      </x:c>
      <x:c r="F61" s="100" t="n">
        <x:f>E61+F21-F12+F44</x:f>
        <x:v>2254.483133405444</x:v>
      </x:c>
      <x:c r="G61" s="100" t="n">
        <x:f>F61+G21-G12+G44</x:f>
        <x:v>2292.9339764033875</x:v>
      </x:c>
      <x:c r="H61" s="90"/>
      <x:c r="I61" s="90"/>
      <x:c r="J61" s="90"/>
    </x:row>
    <x:row r="62" ht="21" hidden="0" customHeight="1">
      <x:c r="A62" s="90"/>
      <x:c r="B62" s="90" t="str">
        <x:v>Liabilities and equity</x:v>
      </x:c>
      <x:c r="C62" s="100" t="n">
        <x:f>C60+C61</x:f>
        <x:v>4035.5677157819177</x:v>
      </x:c>
      <x:c r="D62" s="100" t="n">
        <x:f>D60+D61</x:f>
        <x:v>4046.2760837476635</x:v>
      </x:c>
      <x:c r="E62" s="100" t="n">
        <x:f>E60+E61</x:f>
        <x:v>4061.9139163653936</x:v>
      </x:c>
      <x:c r="F62" s="100" t="n">
        <x:f>F60+F61</x:f>
        <x:v>4083.8282672454443</x:v>
      </x:c>
      <x:c r="G62" s="100" t="n">
        <x:f>G60+G61</x:f>
        <x:v>4139.942492920188</x:v>
      </x:c>
      <x:c r="H62" s="90"/>
      <x:c r="I62" s="90"/>
      <x:c r="J62" s="90"/>
    </x:row>
    <x:row r="63" ht="21" hidden="0" customHeight="1">
      <x:c r="A63" s="90"/>
      <x:c r="B63" s="90" t="str">
        <x:v>Balance check</x:v>
      </x:c>
      <x:c r="C63" s="100" t="n">
        <x:f>C54-C62</x:f>
        <x:v>4.547473508864641e-13</x:v>
      </x:c>
      <x:c r="D63" s="100" t="n">
        <x:f>D54-D62</x:f>
        <x:v>0</x:v>
      </x:c>
      <x:c r="E63" s="100" t="n">
        <x:f>E54-E62</x:f>
        <x:v>0</x:v>
      </x:c>
      <x:c r="F63" s="100" t="n">
        <x:f>F54-F62</x:f>
        <x:v>-4.547473508864641e-13</x:v>
      </x:c>
      <x:c r="G63" s="100" t="n">
        <x:f>G54-G62</x:f>
        <x:v>-9.094947017729282e-13</x:v>
      </x:c>
      <x:c r="H63" s="90"/>
      <x:c r="I63" s="90"/>
      <x:c r="J63" s="90"/>
    </x:row>
    <x:row r="64" ht="21" hidden="0" customHeight="1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</x:row>
    <x:row r="65" ht="25" hidden="0" customHeight="1">
      <x:c r="A65" s="90"/>
      <x:c r="B65" s="105" t="str">
        <x:v>Cash flow for valuation</x:v>
      </x:c>
      <x:c r="C65" s="105"/>
      <x:c r="D65" s="105"/>
      <x:c r="E65" s="105"/>
      <x:c r="F65" s="105"/>
      <x:c r="G65" s="105"/>
      <x:c r="H65" s="105"/>
      <x:c r="I65" s="105"/>
      <x:c r="J65" s="105"/>
    </x:row>
    <x:row r="66" ht="21" hidden="0" customHeight="1">
      <x:c r="A66" s="90"/>
      <x:c r="B66" s="90" t="str">
        <x:v>Economic EBIT</x:v>
      </x:c>
      <x:c r="C66" s="100" t="n">
        <x:f>C17</x:f>
        <x:v>98.15333842465756</x:v>
      </x:c>
      <x:c r="D66" s="100" t="n">
        <x:f>D17</x:f>
        <x:v>142.41343399999997</x:v>
      </x:c>
      <x:c r="E66" s="100" t="n">
        <x:f>E17</x:f>
        <x:v>146.52935329643833</x:v>
      </x:c>
      <x:c r="F66" s="100" t="n">
        <x:f>F17</x:f>
        <x:v>151.13404403360002</x:v>
      </x:c>
      <x:c r="G66" s="100" t="n">
        <x:f>G17</x:f>
        <x:v>192.85025087317618</x:v>
      </x:c>
      <x:c r="H66" s="90"/>
      <x:c r="I66" s="90"/>
      <x:c r="J66" s="90"/>
    </x:row>
    <x:row r="67" ht="21" hidden="0" customHeight="1">
      <x:c r="A67" s="90"/>
      <x:c r="B67" s="90" t="str">
        <x:v>Unlevered cash taxes</x:v>
      </x:c>
      <x:c r="C67" s="199" t="n">
        <x:f>-MAX(0,C66)*'Assumptions'!$F$17</x:f>
        <x:v>-23.556801221917816</x:v>
      </x:c>
      <x:c r="D67" s="199" t="n">
        <x:f>-MAX(0,D66)*'Assumptions'!$F$17</x:f>
        <x:v>-34.17922415999999</x:v>
      </x:c>
      <x:c r="E67" s="199" t="n">
        <x:f>-MAX(0,E66)*'Assumptions'!$F$17</x:f>
        <x:v>-35.167044791145194</x:v>
      </x:c>
      <x:c r="F67" s="199" t="n">
        <x:f>-MAX(0,F66)*'Assumptions'!$F$17</x:f>
        <x:v>-36.272170568064006</x:v>
      </x:c>
      <x:c r="G67" s="199" t="n">
        <x:f>-MAX(0,G66)*'Assumptions'!$F$17</x:f>
        <x:v>-46.284060209562284</x:v>
      </x:c>
      <x:c r="H67" s="90"/>
      <x:c r="I67" s="90"/>
      <x:c r="J67" s="90"/>
    </x:row>
    <x:row r="68" ht="21" hidden="0" customHeight="1">
      <x:c r="A68" s="90"/>
      <x:c r="B68" s="90" t="str">
        <x:v>PP&amp;E depreciation + amortization</x:v>
      </x:c>
      <x:c r="C68" s="100" t="n">
        <x:f>C15+C16</x:f>
        <x:v>78.26731157534248</x:v>
      </x:c>
      <x:c r="D68" s="100" t="n">
        <x:f>D15+D16</x:f>
        <x:v>152.26732</x:v>
      </x:c>
      <x:c r="E68" s="100" t="n">
        <x:f>E15+E16</x:f>
        <x:v>154.04501578356167</x:v>
      </x:c>
      <x:c r="F68" s="100" t="n">
        <x:f>F15+F16</x:f>
        <x:v>155.45181242800004</x:v>
      </x:c>
      <x:c r="G68" s="100" t="n">
        <x:f>G15+G16</x:f>
        <x:v>119.86732271765592</x:v>
      </x:c>
      <x:c r="H68" s="90"/>
      <x:c r="I68" s="90"/>
      <x:c r="J68" s="90"/>
    </x:row>
    <x:row r="69" ht="21" hidden="0" customHeight="1">
      <x:c r="A69" s="90"/>
      <x:c r="B69" s="90" t="str">
        <x:v>Capital expenditure</x:v>
      </x:c>
      <x:c r="C69" s="100" t="n">
        <x:f>C40</x:f>
        <x:v>-53.93428500000001</x:v>
      </x:c>
      <x:c r="D69" s="100" t="n">
        <x:f>D40</x:f>
        <x:v>-103.07763000000001</x:v>
      </x:c>
      <x:c r="E69" s="100" t="n">
        <x:f>E40</x:f>
        <x:v>-105.13918260000003</x:v>
      </x:c>
      <x:c r="F69" s="100" t="n">
        <x:f>F40</x:f>
        <x:v>-107.24196625200004</x:v>
      </x:c>
      <x:c r="G69" s="100" t="n">
        <x:f>G40</x:f>
        <x:v>-109.38680557704005</x:v>
      </x:c>
      <x:c r="H69" s="90"/>
      <x:c r="I69" s="90"/>
      <x:c r="J69" s="90"/>
    </x:row>
    <x:row r="70" ht="21" hidden="0" customHeight="1">
      <x:c r="A70" s="90"/>
      <x:c r="B70" s="90" t="str">
        <x:v>Change in working capital</x:v>
      </x:c>
      <x:c r="C70" s="100" t="n">
        <x:f>C32</x:f>
        <x:v>-19.326999999999998</x:v>
      </x:c>
      <x:c r="D70" s="100" t="n">
        <x:f>D32</x:f>
        <x:v>2.615579999999909</x:v>
      </x:c>
      <x:c r="E70" s="100" t="n">
        <x:f>E32</x:f>
        <x:v>2.6678916000000754</x:v>
      </x:c>
      <x:c r="F70" s="100" t="n">
        <x:f>F32</x:f>
        <x:v>2.721249432000036</x:v>
      </x:c>
      <x:c r="G70" s="100" t="n">
        <x:f>G32</x:f>
        <x:v>2.775674420639916</x:v>
      </x:c>
      <x:c r="H70" s="90"/>
      <x:c r="I70" s="90"/>
      <x:c r="J70" s="90"/>
    </x:row>
    <x:row r="71" ht="21" hidden="0" customHeight="1">
      <x:c r="A71" s="90"/>
      <x:c r="B71" s="90" t="str">
        <x:v>Acquisition reinvestment</x:v>
      </x:c>
      <x:c r="C71" s="100" t="n">
        <x:f>C41</x:f>
        <x:v>0</x:v>
      </x:c>
      <x:c r="D71" s="100" t="n">
        <x:f>D41</x:f>
        <x:v>0</x:v>
      </x:c>
      <x:c r="E71" s="100" t="n">
        <x:f>E41</x:f>
        <x:v>0</x:v>
      </x:c>
      <x:c r="F71" s="100" t="n">
        <x:f>F41</x:f>
        <x:v>0</x:v>
      </x:c>
      <x:c r="G71" s="100" t="n">
        <x:f>G41</x:f>
        <x:v>0</x:v>
      </x:c>
      <x:c r="H71" s="90"/>
      <x:c r="I71" s="90"/>
      <x:c r="J71" s="90"/>
    </x:row>
    <x:row r="72" ht="21" hidden="0" customHeight="1">
      <x:c r="A72" s="90"/>
      <x:c r="B72" s="90" t="str">
        <x:v>Economic unlevered cash flow</x:v>
      </x:c>
      <x:c r="C72" s="100" t="n">
        <x:f>SUM(C66:C71)</x:f>
        <x:v>79.60256377808221</x:v>
      </x:c>
      <x:c r="D72" s="100" t="n">
        <x:f>SUM(D66:D71)</x:f>
        <x:v>160.0394798399999</x:v>
      </x:c>
      <x:c r="E72" s="100" t="n">
        <x:f>SUM(E66:E71)</x:f>
        <x:v>162.93603328885484</x:v>
      </x:c>
      <x:c r="F72" s="100" t="n">
        <x:f>SUM(F66:F71)</x:f>
        <x:v>165.79296907353603</x:v>
      </x:c>
      <x:c r="G72" s="100" t="n">
        <x:f>SUM(G66:G71)</x:f>
        <x:v>159.82238222486967</x:v>
      </x:c>
      <x:c r="H72" s="90"/>
      <x:c r="I72" s="90"/>
      <x:c r="J72" s="90"/>
    </x:row>
    <x:row r="73" ht="21" hidden="0" customHeight="1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</x:row>
    <x:row r="74" ht="21" hidden="0" customHeight="1">
      <x:c r="A74" s="90"/>
      <x:c r="B74" s="90" t="str">
        <x:v>Operating cash shortfall</x:v>
      </x:c>
      <x:c r="C74" s="199" t="n">
        <x:f>MAX(0,'Assumptions'!$C$43-C45)</x:f>
        <x:v>0</x:v>
      </x:c>
      <x:c r="D74" s="199" t="n">
        <x:f>MAX(0,'Assumptions'!$C$43-D45)</x:f>
        <x:v>0</x:v>
      </x:c>
      <x:c r="E74" s="199" t="n">
        <x:f>MAX(0,'Assumptions'!$C$43-E45)</x:f>
        <x:v>0</x:v>
      </x:c>
      <x:c r="F74" s="199" t="n">
        <x:f>MAX(0,'Assumptions'!$C$43-F45)</x:f>
        <x:v>0</x:v>
      </x:c>
      <x:c r="G74" s="199" t="n">
        <x:f>MAX(0,'Assumptions'!$C$43-G45)</x:f>
        <x:v>0</x:v>
      </x:c>
      <x:c r="H74" s="90"/>
      <x:c r="I74" s="90"/>
      <x:c r="J74" s="90"/>
    </x:row>
    <x:row r="75" ht="21" hidden="0" customHeight="1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</x:row>
    <x:row r="76" ht="21" hidden="0" customHeight="1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</x:row>
    <x:row r="77" ht="21" hidden="0" customHeight="1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</x:row>
    <x:row r="78" ht="21" hidden="0" customHeight="1">
      <x:c r="A78" s="90"/>
      <x:c r="B78" s="106" t="str">
        <x:v>Acquired intangibles amortize over the selected finite life; goodwill remains separate. Acquisition spending is capitalized as an asset assumption and charged to valuation cash flow. No acquired earnings are credited.</x:v>
      </x:c>
      <x:c r="C78" s="106"/>
      <x:c r="D78" s="106"/>
      <x:c r="E78" s="106"/>
      <x:c r="F78" s="106"/>
      <x:c r="G78" s="106"/>
      <x:c r="H78" s="106"/>
      <x:c r="I78" s="106"/>
      <x:c r="J78" s="106"/>
    </x:row>
    <x:row r="79" ht="21" hidden="0" customHeight="1">
      <x:c r="A79" s="90"/>
      <x:c r="B79" s="106"/>
      <x:c r="C79" s="106"/>
      <x:c r="D79" s="106"/>
      <x:c r="E79" s="106"/>
      <x:c r="F79" s="106"/>
      <x:c r="G79" s="106"/>
      <x:c r="H79" s="106"/>
      <x:c r="I79" s="106"/>
      <x:c r="J79" s="106"/>
    </x:row>
    <x:row r="80" ht="21" hidden="0" customHeight="1">
      <x:c r="A80" s="90"/>
      <x:c r="B80" s="106"/>
      <x:c r="C80" s="106"/>
      <x:c r="D80" s="106"/>
      <x:c r="E80" s="106"/>
      <x:c r="F80" s="106"/>
      <x:c r="G80" s="106"/>
      <x:c r="H80" s="106"/>
      <x:c r="I80" s="106"/>
      <x:c r="J80" s="106"/>
    </x:row>
    <x:row r="81" ht="21" hidden="0" customHeight="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</x:row>
    <x:row r="82" ht="21" hidden="0" customHeight="1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</x:row>
    <x:row r="83" ht="21" hidden="0" customHeight="1">
      <x:c r="A83" s="90"/>
      <x:c r="B83" s="106" t="str">
        <x:v>Opening taxes payable are paid from cash and removed from the balance sheet. They are reserved in the valuation bridge, so they are not deducted again from unlevered cash flow.</x:v>
      </x:c>
      <x:c r="C83" s="106"/>
      <x:c r="D83" s="106"/>
      <x:c r="E83" s="106"/>
      <x:c r="F83" s="106"/>
      <x:c r="G83" s="106"/>
      <x:c r="H83" s="106"/>
      <x:c r="I83" s="106"/>
      <x:c r="J83" s="106"/>
    </x:row>
    <x:row r="84" ht="21" hidden="0" customHeight="1">
      <x:c r="A84" s="90"/>
      <x:c r="B84" s="106"/>
      <x:c r="C84" s="106"/>
      <x:c r="D84" s="106"/>
      <x:c r="E84" s="106"/>
      <x:c r="F84" s="106"/>
      <x:c r="G84" s="106"/>
      <x:c r="H84" s="106"/>
      <x:c r="I84" s="106"/>
      <x:c r="J84" s="106"/>
    </x:row>
    <x:row r="85" ht="21" hidden="0" customHeight="1">
      <x:c r="A85" s="90"/>
      <x:c r="B85" s="106"/>
      <x:c r="C85" s="106"/>
      <x:c r="D85" s="106"/>
      <x:c r="E85" s="106"/>
      <x:c r="F85" s="106"/>
      <x:c r="G85" s="106"/>
      <x:c r="H85" s="106"/>
      <x:c r="I85" s="106"/>
      <x:c r="J85" s="106"/>
    </x:row>
    <x:row r="86" ht="21" hidden="0" customHeight="1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</x:row>
    <x:row r="87" ht="21" hidden="0" customHeight="1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</x:row>
    <x:row r="88" ht="21" hidden="0" customHeight="1">
      <x:c r="A88" s="90"/>
      <x:c r="B88" s="106" t="str">
        <x:v>The model estimates normalized earnings. Share issuance is an EPS illustration; the DCF uses the current diluted share assumption and keeps SBC expensed. Debt changes are explicit inputs.</x:v>
      </x:c>
      <x:c r="C88" s="106"/>
      <x:c r="D88" s="106"/>
      <x:c r="E88" s="106"/>
      <x:c r="F88" s="106"/>
      <x:c r="G88" s="106"/>
      <x:c r="H88" s="106"/>
      <x:c r="I88" s="106"/>
      <x:c r="J88" s="106"/>
    </x:row>
    <x:row r="89" ht="21" hidden="0" customHeight="1">
      <x:c r="A89" s="90"/>
      <x:c r="B89" s="106"/>
      <x:c r="C89" s="106"/>
      <x:c r="D89" s="106"/>
      <x:c r="E89" s="106"/>
      <x:c r="F89" s="106"/>
      <x:c r="G89" s="106"/>
      <x:c r="H89" s="106"/>
      <x:c r="I89" s="106"/>
      <x:c r="J89" s="106"/>
    </x:row>
    <x:row r="90" ht="21" hidden="0" customHeight="1">
      <x:c r="A90" s="90"/>
      <x:c r="B90" s="106"/>
      <x:c r="C90" s="106"/>
      <x:c r="D90" s="106"/>
      <x:c r="E90" s="106"/>
      <x:c r="F90" s="106"/>
      <x:c r="G90" s="106"/>
      <x:c r="H90" s="106"/>
      <x:c r="I90" s="106"/>
      <x:c r="J90" s="106"/>
    </x:row>
    <x:row r="91" ht="21" hidden="0" customHeight="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</x:row>
    <x:row r="92" ht="21" hidden="0" customHeight="1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</x:row>
    <x:row r="93" ht="21" hidden="0" customHeight="1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</x:row>
    <x:row r="94" ht="21" hidden="0" customHeight="1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</x:row>
    <x:row r="95" ht="21" hidden="0" customHeight="1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</x:row>
    <x:row r="96" ht="21" hidden="0" customHeight="1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</x:row>
    <x:row r="97" ht="21" hidden="0" customHeight="1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</x:row>
    <x:row r="98" ht="21" hidden="0" customHeight="1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</x:row>
    <x:row r="99" ht="21" hidden="0" customHeight="1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</x:row>
    <x:row r="100" ht="21" hidden="0" customHeight="1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</x:row>
    <x:row r="101" ht="21" hidden="0" customHeight="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</x:row>
    <x:row r="102" ht="21" hidden="0" customHeight="1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</x:row>
    <x:row r="103" ht="21" hidden="0" customHeight="1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</x:row>
    <x:row r="104" ht="21" hidden="0" customHeight="1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</x:row>
    <x:row r="105" ht="21" hidden="0" customHeight="1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</x:row>
    <x:row r="106" ht="21" hidden="0" customHeight="1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</x:row>
    <x:row r="107" ht="21" hidden="0" customHeight="1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</x:row>
    <x:row r="108" ht="21" hidden="0" customHeight="1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</x:row>
    <x:row r="109" ht="15" hidden="0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</x:row>
    <x:row r="110" ht="15" hidden="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</x:row>
    <x:row r="111" ht="15" hidden="0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</x:row>
    <x:row r="112" ht="15" hidden="0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</x:row>
    <x:row r="113" ht="15" hidden="0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</x:row>
    <x:row r="114" ht="15" hidden="0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</x:row>
    <x:row r="115" ht="15" hidden="0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</x:row>
    <x:row r="116" ht="15" hidden="0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</x:row>
    <x:row r="117" ht="15" hidden="0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</x:row>
    <x:row r="118" ht="15" hidden="0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</x:row>
    <x:row r="119" ht="15" hidden="0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</x:row>
    <x:row r="120" ht="15" hidden="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</x:row>
  </x:sheetData>
  <x:mergeCells>
    <x:mergeCell ref="A1:J1"/>
    <x:mergeCell ref="A2:J3"/>
    <x:mergeCell ref="B8:J8"/>
    <x:mergeCell ref="B28:J28"/>
    <x:mergeCell ref="B34:J34"/>
    <x:mergeCell ref="B47:J47"/>
    <x:mergeCell ref="B55:J55"/>
    <x:mergeCell ref="B65:J65"/>
    <x:mergeCell ref="B78:J80"/>
    <x:mergeCell ref="B83:J85"/>
    <x:mergeCell ref="B88:J90"/>
  </x:mergeCells>
  <x:pageMargins left="0.7" right="0.7" top="0.75" bottom="0.75" header="0.3" footer="0.3"/>
  <x:legacyDrawing xmlns:r="http://schemas.openxmlformats.org/officeDocument/2006/relationships" r:id="Re6f0ed07761f4da3"/>
</x:worksheet>
</file>

<file path=xl/worksheets/sheet7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6" hidden="0" customWidth="1"/>
    <x:col min="3" max="7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2" hidden="0" customHeight="1">
      <x:c r="A1" s="133" t="str">
        <x:v>COMPARABLES | SELECTED MULTIPLES</x:v>
      </x:c>
      <x:c r="B1" s="133"/>
      <x:c r="C1" s="133"/>
      <x:c r="D1" s="133"/>
      <x:c r="E1" s="133"/>
      <x:c r="F1" s="133"/>
      <x:c r="G1" s="133"/>
      <x:c r="H1" s="133"/>
      <x:c r="I1" s="133"/>
      <x:c r="J1" s="133"/>
      <x:c r="K1" s="2"/>
      <x:c r="L1" s="2"/>
    </x:row>
    <x:row r="2" ht="21" hidden="0" customHeight="1">
      <x:c r="A2" s="135" t="str">
        <x:v>Reference assumptions; valuation uses the selected adjusted EBITDA multiples.</x:v>
      </x:c>
      <x:c r="B2" s="135"/>
      <x:c r="C2" s="135"/>
      <x:c r="D2" s="135"/>
      <x:c r="E2" s="135"/>
      <x:c r="F2" s="135"/>
      <x:c r="G2" s="135"/>
      <x:c r="H2" s="135"/>
      <x:c r="I2" s="135"/>
      <x:c r="J2" s="135"/>
      <x:c r="K2" s="2"/>
      <x:c r="L2" s="2"/>
    </x:row>
    <x:row r="3" ht="21" hidden="0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  <x:c r="K3" s="2"/>
      <x:c r="L3" s="2"/>
    </x:row>
    <x:row r="4" ht="21" hidden="0" customHeight="1">
      <x:c r="A4" s="110"/>
      <x:c r="B4" s="110"/>
      <x:c r="C4" s="110"/>
      <x:c r="D4" s="110"/>
      <x:c r="E4" s="110"/>
      <x:c r="F4" s="110"/>
      <x:c r="G4" s="110"/>
      <x:c r="H4" s="110"/>
      <x:c r="I4" s="110"/>
      <x:c r="J4" s="110"/>
      <x:c r="K4" s="2"/>
      <x:c r="L4" s="2"/>
    </x:row>
    <x:row r="5" ht="21" hidden="0" customHeight="1">
      <x:c r="A5" s="90"/>
      <x:c r="B5" s="123" t="str">
        <x:v>Company</x:v>
      </x:c>
      <x:c r="C5" s="123" t="str">
        <x:v>Ticker</x:v>
      </x:c>
      <x:c r="D5" s="113" t="str">
        <x:v>EV ($m)</x:v>
      </x:c>
      <x:c r="E5" s="113" t="str">
        <x:v>Revenue ($m)</x:v>
      </x:c>
      <x:c r="F5" s="113" t="str">
        <x:v>EBITDA ($m)</x:v>
      </x:c>
      <x:c r="G5" s="113" t="str">
        <x:v>EV / EBITDA</x:v>
      </x:c>
      <x:c r="H5" s="90"/>
      <x:c r="I5" s="90"/>
      <x:c r="J5" s="90"/>
      <x:c r="K5" s="2"/>
      <x:c r="L5" s="2"/>
    </x:row>
    <x:row r="6" ht="21" hidden="0" customHeight="1">
      <x:c r="A6" s="90"/>
      <x:c r="B6" s="90" t="str">
        <x:v>People Inc.</x:v>
      </x:c>
      <x:c r="C6" s="90" t="str">
        <x:v>PPLI</x:v>
      </x:c>
      <x:c r="D6" s="137" t="n">
        <x:v>3252.6</x:v>
      </x:c>
      <x:c r="E6" s="137" t="n">
        <x:v>2381.1</x:v>
      </x:c>
      <x:c r="F6" s="137" t="n">
        <x:v>169.9</x:v>
      </x:c>
      <x:c r="G6" s="158" t="n">
        <x:f aca="0">IF(F6&gt;0,D6/F6,0)</x:f>
        <x:v>19.144202472042377</x:v>
      </x:c>
      <x:c r="H6" s="90"/>
      <x:c r="I6" s="90"/>
      <x:c r="J6" s="90"/>
      <x:c r="K6" s="2"/>
      <x:c r="L6" s="2"/>
    </x:row>
    <x:row r="7" ht="21" hidden="0" customHeight="1">
      <x:c r="A7" s="90"/>
      <x:c r="B7" s="90" t="str">
        <x:v>ZoomInfo</x:v>
      </x:c>
      <x:c r="C7" s="90" t="str">
        <x:v>GTM</x:v>
      </x:c>
      <x:c r="D7" s="137" t="n">
        <x:v>2567.6</x:v>
      </x:c>
      <x:c r="E7" s="137" t="n">
        <x:v>1257.7</x:v>
      </x:c>
      <x:c r="F7" s="137" t="n">
        <x:v>338.1</x:v>
      </x:c>
      <x:c r="G7" s="158" t="n">
        <x:f aca="0">IF(F7&gt;0,D7/F7,0)</x:f>
        <x:v>7.594202898550724</x:v>
      </x:c>
      <x:c r="H7" s="90"/>
      <x:c r="I7" s="90"/>
      <x:c r="J7" s="90"/>
      <x:c r="K7" s="2"/>
      <x:c r="L7" s="2"/>
    </x:row>
    <x:row r="8" ht="21" hidden="0" customHeight="1">
      <x:c r="A8" s="90"/>
      <x:c r="B8" s="90" t="str">
        <x:v>Yelp</x:v>
      </x:c>
      <x:c r="C8" s="90" t="str">
        <x:v>YELP</x:v>
      </x:c>
      <x:c r="D8" s="137" t="n">
        <x:v>1204.5</x:v>
      </x:c>
      <x:c r="E8" s="137" t="n">
        <x:v>1473</x:v>
      </x:c>
      <x:c r="F8" s="137" t="n">
        <x:v>206.4</x:v>
      </x:c>
      <x:c r="G8" s="158" t="n">
        <x:f aca="0">IF(F8&gt;0,D8/F8,0)</x:f>
        <x:v>5.835755813953488</x:v>
      </x:c>
      <x:c r="H8" s="90"/>
      <x:c r="I8" s="90"/>
      <x:c r="J8" s="90"/>
      <x:c r="K8" s="2"/>
      <x:c r="L8" s="2"/>
    </x:row>
    <x:row r="9" ht="21" hidden="0" customHeight="1">
      <x:c r="A9" s="90"/>
      <x:c r="B9" s="90" t="str">
        <x:v>Bumble</x:v>
      </x:c>
      <x:c r="C9" s="90" t="str">
        <x:v>BMBL</x:v>
      </x:c>
      <x:c r="D9" s="137" t="n">
        <x:v>789.1</x:v>
      </x:c>
      <x:c r="E9" s="137" t="n">
        <x:v>893.2</x:v>
      </x:c>
      <x:c r="F9" s="137" t="n">
        <x:v>258.9</x:v>
      </x:c>
      <x:c r="G9" s="158" t="n">
        <x:f aca="0">IF(F9&gt;0,D9/F9,0)</x:f>
        <x:v>3.047894940131325</x:v>
      </x:c>
      <x:c r="H9" s="90"/>
      <x:c r="I9" s="90"/>
      <x:c r="J9" s="90"/>
      <x:c r="K9" s="2"/>
      <x:c r="L9" s="2"/>
    </x:row>
    <x:row r="10" ht="21" hidden="0" customHeight="1">
      <x:c r="A10" s="90"/>
      <x:c r="B10" s="90" t="str">
        <x:v>RingCentral</x:v>
      </x:c>
      <x:c r="C10" s="90" t="str">
        <x:v>RNG</x:v>
      </x:c>
      <x:c r="D10" s="137" t="n">
        <x:v>7381.2</x:v>
      </x:c>
      <x:c r="E10" s="137" t="n">
        <x:v>2583.9</x:v>
      </x:c>
      <x:c r="F10" s="137" t="n">
        <x:v>414.6</x:v>
      </x:c>
      <x:c r="G10" s="158" t="n">
        <x:f aca="0">IF(F10&gt;0,D10/F10,0)</x:f>
        <x:v>17.803183791606365</x:v>
      </x:c>
      <x:c r="H10" s="90"/>
      <x:c r="I10" s="90"/>
      <x:c r="J10" s="90"/>
      <x:c r="K10" s="2"/>
      <x:c r="L10" s="2"/>
    </x:row>
    <x:row r="11" ht="21" hidden="0" customHeight="1">
      <x:c r="A11" s="90"/>
      <x:c r="B11" s="110"/>
      <x:c r="C11" s="90"/>
      <x:c r="D11" s="90"/>
      <x:c r="E11" s="90"/>
      <x:c r="F11" s="90"/>
      <x:c r="G11" s="228"/>
      <x:c r="H11" s="90"/>
      <x:c r="I11" s="90"/>
      <x:c r="J11" s="90"/>
      <x:c r="K11" s="2"/>
      <x:c r="L11" s="2"/>
    </x:row>
    <x:row r="12" ht="21" hidden="0" customHeight="1">
      <x:c r="A12" s="90"/>
      <x:c r="B12" s="110"/>
      <x:c r="C12" s="90"/>
      <x:c r="D12" s="90"/>
      <x:c r="E12" s="90"/>
      <x:c r="F12" s="90"/>
      <x:c r="G12" s="228"/>
      <x:c r="H12" s="90"/>
      <x:c r="I12" s="90"/>
      <x:c r="J12" s="90"/>
      <x:c r="K12" s="2"/>
      <x:c r="L12" s="2"/>
    </x:row>
    <x:row r="13" ht="21" hidden="0" customHeight="1">
      <x:c r="A13" s="90"/>
      <x:c r="B13" s="240" t="str">
        <x:v>Peer values are reference assumptions from the supplied market snapshot. Source reference: https://stockanalysis.com. Peer EBITDA adjustments and lease treatment should match the selected valuation basis.</x:v>
      </x:c>
      <x:c r="C13" s="106"/>
      <x:c r="D13" s="106"/>
      <x:c r="E13" s="106"/>
      <x:c r="F13" s="106"/>
      <x:c r="G13" s="241"/>
      <x:c r="H13" s="106"/>
      <x:c r="I13" s="106"/>
      <x:c r="J13" s="106"/>
      <x:c r="K13" s="2"/>
      <x:c r="L13" s="2"/>
    </x:row>
    <x:row r="14" ht="21" hidden="0" customHeight="1">
      <x:c r="A14" s="90"/>
      <x:c r="B14" s="240"/>
      <x:c r="C14" s="106"/>
      <x:c r="D14" s="242"/>
      <x:c r="E14" s="242"/>
      <x:c r="F14" s="242"/>
      <x:c r="G14" s="241"/>
      <x:c r="H14" s="106"/>
      <x:c r="I14" s="106"/>
      <x:c r="J14" s="106"/>
      <x:c r="K14" s="2"/>
      <x:c r="L14" s="2"/>
    </x:row>
    <x:row r="15" ht="21" hidden="0" customHeight="1">
      <x:c r="A15" s="90"/>
      <x:c r="B15" s="106"/>
      <x:c r="C15" s="106"/>
      <x:c r="D15" s="106"/>
      <x:c r="E15" s="106"/>
      <x:c r="F15" s="106"/>
      <x:c r="G15" s="106"/>
      <x:c r="H15" s="106"/>
      <x:c r="I15" s="106"/>
      <x:c r="J15" s="106"/>
      <x:c r="K15" s="2"/>
      <x:c r="L15" s="2"/>
    </x:row>
    <x:row r="16" ht="21" hidden="0" customHeight="1">
      <x:c r="A16" s="110"/>
      <x:c r="B16" s="110"/>
      <x:c r="C16" s="110"/>
      <x:c r="D16" s="110"/>
      <x:c r="E16" s="110"/>
      <x:c r="F16" s="110"/>
      <x:c r="G16" s="110"/>
      <x:c r="H16" s="110"/>
      <x:c r="I16" s="110"/>
      <x:c r="J16" s="110"/>
      <x:c r="K16" s="2"/>
      <x:c r="L16" s="2"/>
    </x:row>
    <x:row r="17" ht="21" hidden="0" customHeight="1">
      <x:c r="A17" s="90"/>
      <x:c r="B17" s="90"/>
      <x:c r="C17" s="130"/>
      <x:c r="D17" s="90"/>
      <x:c r="E17" s="90"/>
      <x:c r="F17" s="90"/>
      <x:c r="G17" s="90"/>
      <x:c r="H17" s="90"/>
      <x:c r="I17" s="90"/>
      <x:c r="J17" s="90"/>
      <x:c r="K17" s="2"/>
      <x:c r="L17" s="2"/>
    </x:row>
    <x:row r="18" ht="25" hidden="0" customHeight="1">
      <x:c r="A18" s="90"/>
      <x:c r="B18" s="105" t="str">
        <x:v>Continuing adjusted EBITDA valuation</x:v>
      </x:c>
      <x:c r="C18" s="245"/>
      <x:c r="D18" s="105"/>
      <x:c r="E18" s="105"/>
      <x:c r="F18" s="105"/>
      <x:c r="G18" s="105"/>
      <x:c r="H18" s="105"/>
      <x:c r="I18" s="105"/>
      <x:c r="J18" s="105"/>
      <x:c r="K18" s="2"/>
      <x:c r="L18" s="2"/>
    </x:row>
    <x:row r="19" ht="21" hidden="0" customHeight="1">
      <x:c r="A19" s="90"/>
      <x:c r="B19" s="90"/>
      <x:c r="C19" s="127"/>
      <x:c r="D19" s="90"/>
      <x:c r="E19" s="90"/>
      <x:c r="F19" s="90"/>
      <x:c r="G19" s="90"/>
      <x:c r="H19" s="90"/>
      <x:c r="I19" s="90"/>
      <x:c r="J19" s="90"/>
      <x:c r="K19" s="2"/>
      <x:c r="L19" s="2"/>
    </x:row>
    <x:row r="20" ht="21" hidden="0" customHeight="1">
      <x:c r="A20" s="90"/>
      <x:c r="B20" s="90" t="str">
        <x:v>Selected multiple</x:v>
      </x:c>
      <x:c r="C20" s="231" t="n">
        <x:f aca="0">'Assumptions'!$C$37</x:f>
        <x:v>4</x:v>
      </x:c>
      <x:c r="D20" s="217" t="n">
        <x:f>'Assumptions'!$C$38</x:f>
        <x:v>6.5</x:v>
      </x:c>
      <x:c r="E20" s="90"/>
      <x:c r="F20" s="90"/>
      <x:c r="G20" s="90"/>
      <x:c r="H20" s="90"/>
      <x:c r="I20" s="90"/>
      <x:c r="J20" s="90"/>
      <x:c r="K20" s="2"/>
      <x:c r="L20" s="2"/>
    </x:row>
    <x:row r="21" ht="21" hidden="0" customHeight="1">
      <x:c r="A21" s="90"/>
      <x:c r="B21" s="90" t="str">
        <x:v>Current-year adjusted EBITDA</x:v>
      </x:c>
      <x:c r="C21" s="195" t="n">
        <x:f>'Assumptions'!$F$10*'Assumptions'!$F$12</x:f>
        <x:v>348.34770000000003</x:v>
      </x:c>
      <x:c r="D21" s="199" t="n">
        <x:f>'Assumptions'!$F$10*'Assumptions'!$F$12</x:f>
        <x:v>348.34770000000003</x:v>
      </x:c>
      <x:c r="E21" s="90"/>
      <x:c r="F21" s="90"/>
      <x:c r="G21" s="90"/>
      <x:c r="H21" s="90"/>
      <x:c r="I21" s="90"/>
      <x:c r="J21" s="90"/>
      <x:c r="K21" s="2"/>
      <x:c r="L21" s="2"/>
    </x:row>
    <x:row r="22" ht="21" hidden="0" customHeight="1">
      <x:c r="A22" s="90"/>
      <x:c r="B22" s="90" t="str">
        <x:v>Enterprise value</x:v>
      </x:c>
      <x:c r="C22" s="100" t="n">
        <x:f>C20*C21</x:f>
        <x:v>1393.3908000000001</x:v>
      </x:c>
      <x:c r="D22" s="100" t="n">
        <x:f>D20*D21</x:f>
        <x:v>2264.2600500000003</x:v>
      </x:c>
      <x:c r="E22" s="90"/>
      <x:c r="F22" s="90"/>
      <x:c r="G22" s="90"/>
      <x:c r="H22" s="90"/>
      <x:c r="I22" s="90"/>
      <x:c r="J22" s="90"/>
      <x:c r="K22" s="2"/>
      <x:c r="L22" s="2"/>
    </x:row>
    <x:row r="23" ht="21" hidden="0" customHeight="1">
      <x:c r="A23" s="90"/>
      <x:c r="B23" s="90" t="str">
        <x:v>Add net cash after reserves</x:v>
      </x:c>
      <x:c r="C23" s="192" t="n">
        <x:f>'Source Inputs'!$C$43</x:f>
        <x:v>425.97500000000014</x:v>
      </x:c>
      <x:c r="D23" s="192" t="n">
        <x:f>'Source Inputs'!$C$43</x:f>
        <x:v>425.97500000000014</x:v>
      </x:c>
      <x:c r="E23" s="90"/>
      <x:c r="F23" s="90"/>
      <x:c r="G23" s="90"/>
      <x:c r="H23" s="90"/>
      <x:c r="I23" s="90"/>
      <x:c r="J23" s="90"/>
      <x:c r="K23" s="2"/>
      <x:c r="L23" s="2"/>
    </x:row>
    <x:row r="24" ht="21" hidden="0" customHeight="1">
      <x:c r="A24" s="90"/>
      <x:c r="B24" s="110" t="str">
        <x:v>Add other asset value</x:v>
      </x:c>
      <x:c r="C24" s="192" t="n">
        <x:f aca="0">'Source Inputs'!$C$15</x:f>
        <x:v>0</x:v>
      </x:c>
      <x:c r="D24" s="192" t="n">
        <x:f aca="0">'Source Inputs'!$C$15</x:f>
        <x:v>0</x:v>
      </x:c>
      <x:c r="E24" s="90"/>
      <x:c r="F24" s="90"/>
      <x:c r="G24" s="90"/>
      <x:c r="H24" s="90"/>
      <x:c r="I24" s="90"/>
      <x:c r="J24" s="90"/>
      <x:c r="K24" s="2"/>
      <x:c r="L24" s="2"/>
    </x:row>
    <x:row r="25" ht="21" hidden="0" customHeight="1">
      <x:c r="A25" s="90"/>
      <x:c r="B25" s="90" t="str">
        <x:v>Equity value</x:v>
      </x:c>
      <x:c r="C25" s="137" t="n">
        <x:f aca="0">SUM(C22:C24)</x:f>
        <x:v>1819.3658000000003</x:v>
      </x:c>
      <x:c r="D25" s="137" t="n">
        <x:f aca="0">SUM(D22:D24)</x:f>
        <x:v>2690.2350500000002</x:v>
      </x:c>
      <x:c r="E25" s="90"/>
      <x:c r="F25" s="90"/>
      <x:c r="G25" s="90"/>
      <x:c r="H25" s="90"/>
      <x:c r="I25" s="90"/>
      <x:c r="J25" s="90"/>
      <x:c r="K25" s="2"/>
      <x:c r="L25" s="2"/>
    </x:row>
    <x:row r="26" ht="21" hidden="0" customHeight="1">
      <x:c r="A26" s="90"/>
      <x:c r="B26" s="110" t="str">
        <x:v>Diluted shares</x:v>
      </x:c>
      <x:c r="C26" s="192" t="n">
        <x:f aca="0">'Source Inputs'!$C$8</x:f>
        <x:v>34.3</x:v>
      </x:c>
      <x:c r="D26" s="192" t="n">
        <x:f aca="0">'Source Inputs'!$C$8</x:f>
        <x:v>34.3</x:v>
      </x:c>
      <x:c r="E26" s="90"/>
      <x:c r="F26" s="90"/>
      <x:c r="G26" s="90"/>
      <x:c r="H26" s="90"/>
      <x:c r="I26" s="90"/>
      <x:c r="J26" s="90"/>
      <x:c r="K26" s="2"/>
      <x:c r="L26" s="2"/>
    </x:row>
    <x:row r="27" ht="21" hidden="0" customHeight="1">
      <x:c r="A27" s="90"/>
      <x:c r="B27" s="110" t="str">
        <x:v>Value per share</x:v>
      </x:c>
      <x:c r="C27" s="218" t="n">
        <x:f aca="0">IF(C26&gt;0,C25/C26,0)</x:f>
        <x:v>53.04273469387756</x:v>
      </x:c>
      <x:c r="D27" s="218" t="n">
        <x:f aca="0">IF(D26&gt;0,D25/D26,0)</x:f>
        <x:v>78.4325087463557</x:v>
      </x:c>
      <x:c r="E27" s="90"/>
      <x:c r="F27" s="90"/>
      <x:c r="G27" s="90"/>
      <x:c r="H27" s="90"/>
      <x:c r="I27" s="90"/>
      <x:c r="J27" s="90"/>
      <x:c r="K27" s="2"/>
      <x:c r="L27" s="2"/>
    </x:row>
    <x:row r="28" ht="21" hidden="0" customHeight="1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2"/>
      <x:c r="L28" s="2"/>
    </x:row>
    <x:row r="29" ht="21" hidden="0" customHeight="1">
      <x:c r="A29" s="90"/>
      <x:c r="B29" s="124"/>
      <x:c r="C29" s="90"/>
      <x:c r="D29" s="90"/>
      <x:c r="E29" s="90"/>
      <x:c r="F29" s="90"/>
      <x:c r="G29" s="90"/>
      <x:c r="H29" s="90"/>
      <x:c r="I29" s="90"/>
      <x:c r="J29" s="90"/>
      <x:c r="K29" s="2"/>
      <x:c r="L29" s="2"/>
    </x:row>
    <x:row r="30" ht="21" hidden="0" customHeight="1">
      <x:c r="A30" s="90"/>
      <x:c r="B30" s="124"/>
      <x:c r="C30" s="90"/>
      <x:c r="D30" s="90"/>
      <x:c r="E30" s="90"/>
      <x:c r="F30" s="90"/>
      <x:c r="G30" s="90"/>
      <x:c r="H30" s="90"/>
      <x:c r="I30" s="90"/>
      <x:c r="J30" s="90"/>
      <x:c r="K30" s="2"/>
      <x:c r="L30" s="2"/>
    </x:row>
    <x:row r="31" ht="21" hidden="0" customHeight="1">
      <x:c r="A31" s="90"/>
      <x:c r="B31" s="106" t="str">
        <x:v>Compare audience quality, traffic dependence, recurring revenue, acquisition costs and cash conversion. A low multiple is useful only if the earnings survive the next operating cycle.</x:v>
      </x:c>
      <x:c r="C31" s="106"/>
      <x:c r="D31" s="106"/>
      <x:c r="E31" s="106"/>
      <x:c r="F31" s="106"/>
      <x:c r="G31" s="106"/>
      <x:c r="H31" s="106"/>
      <x:c r="I31" s="106"/>
      <x:c r="J31" s="106"/>
      <x:c r="K31" s="2"/>
      <x:c r="L31" s="2"/>
    </x:row>
    <x:row r="32" ht="21" hidden="0" customHeight="1">
      <x:c r="A32" s="90"/>
      <x:c r="B32" s="106"/>
      <x:c r="C32" s="106"/>
      <x:c r="D32" s="106"/>
      <x:c r="E32" s="106"/>
      <x:c r="F32" s="106"/>
      <x:c r="G32" s="106"/>
      <x:c r="H32" s="106"/>
      <x:c r="I32" s="106"/>
      <x:c r="J32" s="106"/>
      <x:c r="K32" s="2"/>
      <x:c r="L32" s="2"/>
    </x:row>
    <x:row r="33" ht="21" hidden="0" customHeight="1">
      <x:c r="A33" s="90"/>
      <x:c r="B33" s="106"/>
      <x:c r="C33" s="106"/>
      <x:c r="D33" s="106"/>
      <x:c r="E33" s="106"/>
      <x:c r="F33" s="106"/>
      <x:c r="G33" s="106"/>
      <x:c r="H33" s="106"/>
      <x:c r="I33" s="106"/>
      <x:c r="J33" s="106"/>
      <x:c r="K33" s="2"/>
      <x:c r="L33" s="2"/>
    </x:row>
    <x:row r="34" ht="21" hidden="0" customHeight="1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2"/>
      <x:c r="L34" s="2"/>
    </x:row>
    <x:row r="35" ht="21" hidden="0" customHeight="1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2"/>
      <x:c r="L35" s="2"/>
    </x:row>
    <x:row r="36" ht="21" hidden="0" customHeight="1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2"/>
      <x:c r="L36" s="2"/>
    </x:row>
    <x:row r="37" ht="21" hidden="0" customHeight="1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2"/>
      <x:c r="L37" s="2"/>
    </x:row>
    <x:row r="38" ht="21" hidden="0" customHeight="1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2"/>
      <x:c r="L38" s="2"/>
    </x:row>
    <x:row r="39" ht="21" hidden="0" customHeight="1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2"/>
      <x:c r="L39" s="2"/>
    </x:row>
    <x:row r="40" ht="21" hidden="0" customHeight="1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2"/>
      <x:c r="L40" s="2"/>
    </x:row>
    <x:row r="41" ht="21" hidden="0" customHeight="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2"/>
      <x:c r="L41" s="2"/>
    </x:row>
    <x:row r="42" ht="21" hidden="0" customHeight="1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2"/>
      <x:c r="L42" s="2"/>
    </x:row>
    <x:row r="43" ht="21" hidden="0" customHeight="1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2"/>
      <x:c r="L43" s="2"/>
    </x:row>
    <x:row r="44" ht="21" hidden="0" customHeight="1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2"/>
      <x:c r="L44" s="2"/>
    </x:row>
    <x:row r="45" ht="21" hidden="0" customHeight="1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2"/>
      <x:c r="L45" s="2"/>
    </x:row>
    <x:row r="46" ht="21" hidden="0" customHeight="1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2"/>
      <x:c r="L46" s="2"/>
    </x:row>
    <x:row r="47" ht="21" hidden="0" customHeight="1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2"/>
      <x:c r="L47" s="2"/>
    </x:row>
    <x:row r="48" ht="21" hidden="0" customHeight="1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2"/>
      <x:c r="L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15" hidden="0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15" hidden="0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15" hidden="0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15" hidden="0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 ht="15" hidden="0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 ht="15" hidden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 ht="15" hidden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 ht="15" hidden="0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</x:sheetData>
  <x:mergeCells>
    <x:mergeCell ref="A1:J1"/>
    <x:mergeCell ref="A2:J3"/>
    <x:mergeCell ref="B13:J15"/>
    <x:mergeCell ref="B18:J18"/>
    <x:mergeCell ref="B31:J33"/>
  </x:mergeCells>
  <x:pageMargins left="0.7" right="0.7" top="0.75" bottom="0.75" header="0.3" footer="0.3"/>
  <x:legacyDrawing xmlns:r="http://schemas.openxmlformats.org/officeDocument/2006/relationships" r:id="Rb38ef74db5434145"/>
</x:worksheet>
</file>

<file path=xl/worksheets/sheet8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6" hidden="0" customWidth="1"/>
    <x:col min="3" max="7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2" hidden="0" customHeight="1">
      <x:c r="A1" s="133" t="str">
        <x:v>DCF | STANDALONE VALUE</x:v>
      </x:c>
      <x:c r="B1" s="133"/>
      <x:c r="C1" s="133"/>
      <x:c r="D1" s="133"/>
      <x:c r="E1" s="133"/>
      <x:c r="F1" s="133"/>
      <x:c r="G1" s="133"/>
      <x:c r="H1" s="133"/>
      <x:c r="I1" s="133"/>
      <x:c r="J1" s="133"/>
      <x:c r="K1" s="2"/>
      <x:c r="L1" s="2"/>
    </x:row>
    <x:row r="2" ht="21" hidden="0" customHeight="1">
      <x:c r="A2" s="135" t="str">
        <x:v>Continuing cash flows, current capital bridge and two terminal methods.</x:v>
      </x:c>
      <x:c r="B2" s="135"/>
      <x:c r="C2" s="135"/>
      <x:c r="D2" s="135"/>
      <x:c r="E2" s="135"/>
      <x:c r="F2" s="135"/>
      <x:c r="G2" s="135"/>
      <x:c r="H2" s="135"/>
      <x:c r="I2" s="135"/>
      <x:c r="J2" s="135"/>
      <x:c r="K2" s="2"/>
      <x:c r="L2" s="2"/>
    </x:row>
    <x:row r="3" ht="21" hidden="0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  <x:c r="K3" s="2"/>
      <x:c r="L3" s="2"/>
    </x:row>
    <x:row r="4" ht="21" hidden="0" customHeight="1">
      <x:c r="A4" s="110"/>
      <x:c r="B4" s="110"/>
      <x:c r="C4" s="110"/>
      <x:c r="D4" s="110"/>
      <x:c r="E4" s="110"/>
      <x:c r="F4" s="110"/>
      <x:c r="G4" s="110"/>
      <x:c r="H4" s="110"/>
      <x:c r="I4" s="110"/>
      <x:c r="J4" s="110"/>
      <x:c r="K4" s="2"/>
      <x:c r="L4" s="2"/>
    </x:row>
    <x:row r="5" ht="21" hidden="0" customHeight="1">
      <x:c r="A5" s="90"/>
      <x:c r="B5" s="90" t="str">
        <x:v>Cost of equity</x:v>
      </x:c>
      <x:c r="C5" s="212" t="n">
        <x:f aca="0">'Assumptions'!$C$27+'Assumptions'!$C$28*'Assumptions'!$C$29+'Assumptions'!$C$30</x:f>
        <x:v>0.113</x:v>
      </x:c>
      <x:c r="D5" s="90"/>
      <x:c r="E5" s="90"/>
      <x:c r="F5" s="90"/>
      <x:c r="G5" s="90"/>
      <x:c r="H5" s="90"/>
      <x:c r="I5" s="90"/>
      <x:c r="J5" s="90"/>
      <x:c r="K5" s="2"/>
      <x:c r="L5" s="2"/>
    </x:row>
    <x:row r="6" ht="21" hidden="0" customHeight="1">
      <x:c r="A6" s="90"/>
      <x:c r="B6" s="90" t="str">
        <x:v>After-tax cost of debt</x:v>
      </x:c>
      <x:c r="C6" s="212" t="n">
        <x:f aca="0">'Assumptions'!$F$22*(1-'Assumptions'!$F$17)</x:f>
        <x:v>0.0456</x:v>
      </x:c>
      <x:c r="D6" s="90"/>
      <x:c r="E6" s="90"/>
      <x:c r="F6" s="90"/>
      <x:c r="G6" s="90"/>
      <x:c r="H6" s="90"/>
      <x:c r="I6" s="90"/>
      <x:c r="J6" s="90"/>
      <x:c r="K6" s="2"/>
      <x:c r="L6" s="2"/>
    </x:row>
    <x:row r="7" ht="21" hidden="0" customHeight="1">
      <x:c r="A7" s="90"/>
      <x:c r="B7" s="90" t="str">
        <x:v>Market equity</x:v>
      </x:c>
      <x:c r="C7" s="195" t="n">
        <x:f aca="0">'Source Inputs'!$C$7*'Source Inputs'!$C$37</x:f>
        <x:v>1910.51</x:v>
      </x:c>
      <x:c r="D7" s="90"/>
      <x:c r="E7" s="90"/>
      <x:c r="F7" s="90"/>
      <x:c r="G7" s="90"/>
      <x:c r="H7" s="90"/>
      <x:c r="I7" s="90"/>
      <x:c r="J7" s="90"/>
      <x:c r="K7" s="2"/>
      <x:c r="L7" s="2"/>
    </x:row>
    <x:row r="8" ht="21" hidden="0" customHeight="1">
      <x:c r="A8" s="90"/>
      <x:c r="B8" s="90" t="str">
        <x:v>Funded debt principal</x:v>
      </x:c>
      <x:c r="C8" s="195" t="n">
        <x:f aca="0">'Source Inputs'!$C$41</x:f>
        <x:v>894.5</x:v>
      </x:c>
      <x:c r="D8" s="90"/>
      <x:c r="E8" s="90"/>
      <x:c r="F8" s="90"/>
      <x:c r="G8" s="90"/>
      <x:c r="H8" s="90"/>
      <x:c r="I8" s="90"/>
      <x:c r="J8" s="90"/>
      <x:c r="K8" s="2"/>
      <x:c r="L8" s="2"/>
    </x:row>
    <x:row r="9" ht="21" hidden="0" customHeight="1">
      <x:c r="A9" s="90"/>
      <x:c r="B9" s="110" t="str">
        <x:v>Calculated WACC</x:v>
      </x:c>
      <x:c r="C9" s="144" t="n">
        <x:f aca="0">IF(C7+C8&gt;0,(C7*C5+C8*C6)/(C7+C8),0)</x:f>
        <x:v>0.09150656503898381</x:v>
      </x:c>
      <x:c r="D9" s="90"/>
      <x:c r="E9" s="124"/>
      <x:c r="F9" s="90"/>
      <x:c r="G9" s="90"/>
      <x:c r="H9" s="90"/>
      <x:c r="I9" s="90"/>
      <x:c r="J9" s="90"/>
      <x:c r="K9" s="2"/>
      <x:c r="L9" s="2"/>
    </x:row>
    <x:row r="10" ht="21" hidden="0" customHeight="1">
      <x:c r="A10" s="90"/>
      <x:c r="B10" s="90" t="str">
        <x:v>Active WACC</x:v>
      </x:c>
      <x:c r="C10" s="212" t="n">
        <x:f aca="0">IF('Assumptions'!$C$33&gt;0,'Assumptions'!$C$33,C9)</x:f>
        <x:v>0.09150656503898381</x:v>
      </x:c>
      <x:c r="D10" s="90"/>
      <x:c r="E10" s="90"/>
      <x:c r="F10" s="90"/>
      <x:c r="G10" s="90"/>
      <x:c r="H10" s="90"/>
      <x:c r="I10" s="90"/>
      <x:c r="J10" s="90"/>
      <x:c r="K10" s="2"/>
      <x:c r="L10" s="2"/>
    </x:row>
    <x:row r="11" ht="21" hidden="0" customHeight="1">
      <x:c r="A11" s="90"/>
      <x:c r="B11" s="90" t="str">
        <x:v>Terminal growth</x:v>
      </x:c>
      <x:c r="C11" s="212" t="n">
        <x:f aca="0">'Assumptions'!$C$31</x:f>
        <x:v>0.02</x:v>
      </x:c>
      <x:c r="D11" s="90"/>
      <x:c r="E11" s="90"/>
      <x:c r="F11" s="90"/>
      <x:c r="G11" s="90"/>
      <x:c r="H11" s="90"/>
      <x:c r="I11" s="90"/>
      <x:c r="J11" s="90"/>
      <x:c r="K11" s="2"/>
      <x:c r="L11" s="2"/>
    </x:row>
    <x:row r="12" ht="21" hidden="0" customHeight="1">
      <x:c r="A12" s="90"/>
      <x:c r="B12" s="90"/>
      <x:c r="C12" s="127"/>
      <x:c r="D12" s="90"/>
      <x:c r="E12" s="90"/>
      <x:c r="F12" s="90"/>
      <x:c r="G12" s="90"/>
      <x:c r="H12" s="90"/>
      <x:c r="I12" s="90"/>
      <x:c r="J12" s="90"/>
      <x:c r="K12" s="2"/>
      <x:c r="L12" s="2"/>
    </x:row>
    <x:row r="13" ht="21" hidden="0" customHeight="1">
      <x:c r="A13" s="90"/>
      <x:c r="B13" s="90"/>
      <x:c r="C13" s="127"/>
      <x:c r="D13" s="90"/>
      <x:c r="E13" s="90"/>
      <x:c r="F13" s="90"/>
      <x:c r="G13" s="90"/>
      <x:c r="H13" s="90"/>
      <x:c r="I13" s="90"/>
      <x:c r="J13" s="90"/>
      <x:c r="K13" s="2"/>
      <x:c r="L13" s="2"/>
    </x:row>
    <x:row r="14" ht="21" hidden="0" customHeight="1">
      <x:c r="A14" s="90"/>
      <x:c r="B14" s="110" t="str">
        <x:v>Fiscal period</x:v>
      </x:c>
      <x:c r="C14" s="207" t="str">
        <x:f aca="0">'Operating Forecast'!C5</x:f>
        <x:v>H2 FY2026E</x:v>
      </x:c>
      <x:c r="D14" s="216" t="str">
        <x:f>'Operating Forecast'!D5</x:f>
        <x:v>FY2027E</x:v>
      </x:c>
      <x:c r="E14" s="216" t="str">
        <x:f>'Operating Forecast'!E5</x:f>
        <x:v>FY2028E</x:v>
      </x:c>
      <x:c r="F14" s="216" t="str">
        <x:f>'Operating Forecast'!F5</x:f>
        <x:v>FY2029E</x:v>
      </x:c>
      <x:c r="G14" s="216" t="str">
        <x:f>'Operating Forecast'!G5</x:f>
        <x:v>FY2030E</x:v>
      </x:c>
      <x:c r="H14" s="90"/>
      <x:c r="I14" s="90"/>
      <x:c r="J14" s="90"/>
      <x:c r="K14" s="2"/>
      <x:c r="L14" s="2"/>
    </x:row>
    <x:row r="15" ht="21" hidden="0" customHeight="1">
      <x:c r="A15" s="90"/>
      <x:c r="B15" s="110" t="str">
        <x:v>Years to year-end</x:v>
      </x:c>
      <x:c r="C15" s="214" t="n">
        <x:f aca="0">('Operating Forecast'!C6-'Source Inputs'!$C$5)/365</x:f>
        <x:v>0.3232876712328767</x:v>
      </x:c>
      <x:c r="D15" s="191" t="n">
        <x:f>('Operating Forecast'!D6-'Source Inputs'!$C$5)/365</x:f>
        <x:v>1.3232876712328767</x:v>
      </x:c>
      <x:c r="E15" s="191" t="n">
        <x:f>('Operating Forecast'!E6-'Source Inputs'!$C$5)/365</x:f>
        <x:v>2.326027397260274</x:v>
      </x:c>
      <x:c r="F15" s="191" t="n">
        <x:f>('Operating Forecast'!F6-'Source Inputs'!$C$5)/365</x:f>
        <x:v>3.326027397260274</x:v>
      </x:c>
      <x:c r="G15" s="191" t="n">
        <x:f>('Operating Forecast'!G6-'Source Inputs'!$C$5)/365</x:f>
        <x:v>4.326027397260274</x:v>
      </x:c>
      <x:c r="H15" s="90"/>
      <x:c r="I15" s="90"/>
      <x:c r="J15" s="90"/>
      <x:c r="K15" s="2"/>
      <x:c r="L15" s="2"/>
    </x:row>
    <x:row r="16" ht="21" hidden="0" customHeight="1">
      <x:c r="A16" s="90"/>
      <x:c r="B16" s="90" t="str">
        <x:v>Discount period</x:v>
      </x:c>
      <x:c r="C16" s="191" t="n">
        <x:f>C15-'Assumptions'!$C$34*(C15-0)/2</x:f>
        <x:v>0.16164383561643836</x:v>
      </x:c>
      <x:c r="D16" s="191" t="n">
        <x:f>D15-'Assumptions'!$C$34*(D15-C15)/2</x:f>
        <x:v>0.8232876712328767</x:v>
      </x:c>
      <x:c r="E16" s="191" t="n">
        <x:f>E15-'Assumptions'!$C$34*(E15-D15)/2</x:f>
        <x:v>1.8246575342465752</x:v>
      </x:c>
      <x:c r="F16" s="191" t="n">
        <x:f>F15-'Assumptions'!$C$34*(F15-E15)/2</x:f>
        <x:v>2.826027397260274</x:v>
      </x:c>
      <x:c r="G16" s="191" t="n">
        <x:f>G15-'Assumptions'!$C$34*(G15-F15)/2</x:f>
        <x:v>3.8260273972602743</x:v>
      </x:c>
      <x:c r="H16" s="90"/>
      <x:c r="I16" s="90"/>
      <x:c r="J16" s="90"/>
      <x:c r="K16" s="2"/>
      <x:c r="L16" s="2"/>
    </x:row>
    <x:row r="17" ht="21" hidden="0" customHeight="1">
      <x:c r="A17" s="110"/>
      <x:c r="B17" s="110" t="str">
        <x:v>Fraction of period after valuation</x:v>
      </x:c>
      <x:c r="C17" s="215" t="n">
        <x:f>MAX(0,MIN(1,('Operating Forecast'!C6-'Source Inputs'!$C$5)/('Operating Forecast'!C6-'Source Inputs'!$C$6)))</x:f>
        <x:v>0.6413043478260869</x:v>
      </x:c>
      <x:c r="D17" s="148" t="n">
        <x:f>1</x:f>
        <x:v>1</x:v>
      </x:c>
      <x:c r="E17" s="148" t="n">
        <x:f>1</x:f>
        <x:v>1</x:v>
      </x:c>
      <x:c r="F17" s="148" t="n">
        <x:f>1</x:f>
        <x:v>1</x:v>
      </x:c>
      <x:c r="G17" s="148" t="n">
        <x:f>1</x:f>
        <x:v>1</x:v>
      </x:c>
      <x:c r="H17" s="110"/>
      <x:c r="I17" s="110"/>
      <x:c r="J17" s="110"/>
      <x:c r="K17" s="2"/>
      <x:c r="L17" s="2"/>
    </x:row>
    <x:row r="18" ht="21" hidden="0" customHeight="1">
      <x:c r="A18" s="90"/>
      <x:c r="B18" s="110" t="str">
        <x:v>Economic unlevered cash flow</x:v>
      </x:c>
      <x:c r="C18" s="192" t="n">
        <x:f>'Operating Forecast'!C72*C17</x:f>
        <x:v>51.049470248987504</x:v>
      </x:c>
      <x:c r="D18" s="192" t="n">
        <x:f>'Operating Forecast'!D72*D17</x:f>
        <x:v>160.0394798399999</x:v>
      </x:c>
      <x:c r="E18" s="192" t="n">
        <x:f>'Operating Forecast'!E72*E17</x:f>
        <x:v>162.93603328885484</x:v>
      </x:c>
      <x:c r="F18" s="192" t="n">
        <x:f>'Operating Forecast'!F72*F17</x:f>
        <x:v>165.79296907353603</x:v>
      </x:c>
      <x:c r="G18" s="192" t="n">
        <x:f>'Operating Forecast'!G72*G17</x:f>
        <x:v>159.82238222486967</x:v>
      </x:c>
      <x:c r="H18" s="90"/>
      <x:c r="I18" s="90"/>
      <x:c r="J18" s="90"/>
      <x:c r="K18" s="2"/>
      <x:c r="L18" s="2"/>
    </x:row>
    <x:row r="19" ht="21" hidden="0" customHeight="1">
      <x:c r="A19" s="90"/>
      <x:c r="B19" s="90" t="str">
        <x:v>Present value of cash flow</x:v>
      </x:c>
      <x:c r="C19" s="137" t="n">
        <x:f>C18/(1+$C$10)^C16</x:f>
        <x:v>50.33203781942599</x:v>
      </x:c>
      <x:c r="D19" s="137" t="n">
        <x:f>D18/(1+$C$10)^D16</x:f>
        <x:v>148.90884814063443</x:v>
      </x:c>
      <x:c r="E19" s="137" t="n">
        <x:f>E18/(1+$C$10)^E16</x:f>
        <x:v>138.87755728431108</x:v>
      </x:c>
      <x:c r="F19" s="137" t="n">
        <x:f>F18/(1+$C$10)^F16</x:f>
        <x:v>129.45016132590078</x:v>
      </x:c>
      <x:c r="G19" s="137" t="n">
        <x:f>G18/(1+$C$10)^G16</x:f>
        <x:v>114.32671751592716</x:v>
      </x:c>
      <x:c r="H19" s="90"/>
      <x:c r="I19" s="90"/>
      <x:c r="J19" s="90"/>
      <x:c r="K19" s="2"/>
      <x:c r="L19" s="2"/>
    </x:row>
    <x:row r="20" ht="21" hidden="0" customHeight="1">
      <x:c r="A20" s="90"/>
      <x:c r="B20" s="90"/>
      <x:c r="C20" s="129"/>
      <x:c r="D20" s="129"/>
      <x:c r="E20" s="129"/>
      <x:c r="F20" s="129"/>
      <x:c r="G20" s="129"/>
      <x:c r="H20" s="90"/>
      <x:c r="I20" s="90"/>
      <x:c r="J20" s="90"/>
      <x:c r="K20" s="2"/>
      <x:c r="L20" s="2"/>
    </x:row>
    <x:row r="21" ht="21" hidden="0" customHeight="1">
      <x:c r="A21" s="90"/>
      <x:c r="B21" s="90"/>
      <x:c r="C21" s="127"/>
      <x:c r="D21" s="127"/>
      <x:c r="E21" s="127"/>
      <x:c r="F21" s="127"/>
      <x:c r="G21" s="127"/>
      <x:c r="H21" s="90"/>
      <x:c r="I21" s="90"/>
      <x:c r="J21" s="90"/>
      <x:c r="K21" s="2"/>
      <x:c r="L21" s="2"/>
    </x:row>
    <x:row r="22" ht="21" hidden="0" customHeight="1">
      <x:c r="A22" s="90"/>
      <x:c r="B22" s="90" t="str">
        <x:v>PV of explicit forecast</x:v>
      </x:c>
      <x:c r="C22" s="137" t="n">
        <x:f aca="0">SUM(C19:G19)</x:f>
        <x:v>581.8953220861995</x:v>
      </x:c>
      <x:c r="D22" s="205"/>
      <x:c r="E22" s="205"/>
      <x:c r="F22" s="205"/>
      <x:c r="G22" s="205"/>
      <x:c r="H22" s="90"/>
      <x:c r="I22" s="90"/>
      <x:c r="J22" s="90"/>
      <x:c r="K22" s="2"/>
      <x:c r="L22" s="2"/>
    </x:row>
    <x:row r="23" ht="21" hidden="0" customHeight="1">
      <x:c r="A23" s="90"/>
      <x:c r="B23" s="110"/>
      <x:c r="C23" s="118"/>
      <x:c r="D23" s="118"/>
      <x:c r="E23" s="118"/>
      <x:c r="F23" s="118"/>
      <x:c r="G23" s="118"/>
      <x:c r="H23" s="90"/>
      <x:c r="I23" s="90"/>
      <x:c r="J23" s="90"/>
      <x:c r="K23" s="2"/>
      <x:c r="L23" s="2"/>
    </x:row>
    <x:row r="24" ht="21" hidden="0" customHeight="1">
      <x:c r="A24" s="90"/>
      <x:c r="B24" s="90"/>
      <x:c r="C24" s="90"/>
      <x:c r="D24" s="90"/>
      <x:c r="E24" s="90"/>
      <x:c r="F24" s="90"/>
      <x:c r="G24" s="90"/>
      <x:c r="H24" s="90"/>
      <x:c r="I24" s="90"/>
      <x:c r="J24" s="90"/>
      <x:c r="K24" s="2"/>
      <x:c r="L24" s="2"/>
    </x:row>
    <x:row r="25" ht="21" hidden="0" customHeight="1">
      <x:c r="A25" s="90"/>
      <x:c r="B25" s="110" t="str">
        <x:v>Terminal revenue</x:v>
      </x:c>
      <x:c r="C25" s="192" t="n">
        <x:f aca="0">'Operating Forecast'!G9*(1+C11)</x:f>
        <x:v>1312.6416669244804</x:v>
      </x:c>
      <x:c r="D25" s="90"/>
      <x:c r="E25" s="90"/>
      <x:c r="F25" s="90"/>
      <x:c r="G25" s="90"/>
      <x:c r="H25" s="90"/>
      <x:c r="I25" s="90"/>
      <x:c r="J25" s="90"/>
      <x:c r="K25" s="2"/>
      <x:c r="L25" s="2"/>
    </x:row>
    <x:row r="26" ht="21" hidden="0" customHeight="1">
      <x:c r="A26" s="90"/>
      <x:c r="B26" s="90" t="str">
        <x:v>Terminal economic EBITDA</x:v>
      </x:c>
      <x:c r="C26" s="199" t="n">
        <x:f>C25*('Assumptions'!$F$12-'Assumptions'!$F$13-'Assumptions'!$F$14)</x:f>
        <x:v>318.9719250626487</x:v>
      </x:c>
      <x:c r="D26" s="90"/>
      <x:c r="E26" s="90"/>
      <x:c r="F26" s="90"/>
      <x:c r="G26" s="90"/>
      <x:c r="H26" s="90"/>
      <x:c r="I26" s="90"/>
      <x:c r="J26" s="90"/>
      <x:c r="K26" s="2"/>
      <x:c r="L26" s="2"/>
    </x:row>
    <x:row r="27" ht="21" hidden="0" customHeight="1">
      <x:c r="A27" s="90"/>
      <x:c r="B27" s="110" t="str">
        <x:v>Terminal depreciation</x:v>
      </x:c>
      <x:c r="C27" s="199" t="n">
        <x:f>C25*'Assumptions'!$F$15</x:f>
        <x:v>85.32170835009123</x:v>
      </x:c>
      <x:c r="D27" s="90"/>
      <x:c r="E27" s="90"/>
      <x:c r="F27" s="90"/>
      <x:c r="G27" s="90"/>
      <x:c r="H27" s="90"/>
      <x:c r="I27" s="90"/>
      <x:c r="J27" s="90"/>
      <x:c r="K27" s="2"/>
      <x:c r="L27" s="2"/>
    </x:row>
    <x:row r="28" ht="21" hidden="0" customHeight="1">
      <x:c r="A28" s="90"/>
      <x:c r="B28" s="90" t="str">
        <x:v>Terminal EBIT</x:v>
      </x:c>
      <x:c r="C28" s="137" t="n">
        <x:f aca="0">C26-C27</x:f>
        <x:v>233.6502167125575</x:v>
      </x:c>
      <x:c r="D28" s="90"/>
      <x:c r="E28" s="90"/>
      <x:c r="F28" s="90"/>
      <x:c r="G28" s="90"/>
      <x:c r="H28" s="90"/>
      <x:c r="I28" s="90"/>
      <x:c r="J28" s="90"/>
      <x:c r="K28" s="2"/>
      <x:c r="L28" s="2"/>
    </x:row>
    <x:row r="29" ht="21" hidden="0" customHeight="1">
      <x:c r="A29" s="90"/>
      <x:c r="B29" s="90" t="str">
        <x:v>Terminal unlevered cash flow</x:v>
      </x:c>
      <x:c r="C29" s="192" t="n">
        <x:f aca="0">C28-MAX(0,C28)*'Assumptions'!$F$17+C27-C25*'Assumptions'!$F$16-('Assumptions'!$F$18-'Assumptions'!$F$19)*'Operating Forecast'!G9*C11</x:f>
        <x:v>154.15251927210687</x:v>
      </x:c>
      <x:c r="D29" s="90"/>
      <x:c r="E29" s="90"/>
      <x:c r="F29" s="90"/>
      <x:c r="G29" s="90"/>
      <x:c r="H29" s="90"/>
      <x:c r="I29" s="90"/>
      <x:c r="J29" s="90"/>
      <x:c r="K29" s="2"/>
      <x:c r="L29" s="2"/>
    </x:row>
    <x:row r="30" ht="21" hidden="0" customHeight="1">
      <x:c r="A30" s="90"/>
      <x:c r="B30" s="90" t="str">
        <x:v>Perpetuity terminal value</x:v>
      </x:c>
      <x:c r="C30" s="137" t="n">
        <x:f aca="0">IF(C10&gt;C11,C29/(C10-C11),0)</x:f>
        <x:v>2155.7813494196835</x:v>
      </x:c>
      <x:c r="D30" s="90"/>
      <x:c r="E30" s="90"/>
      <x:c r="F30" s="90"/>
      <x:c r="G30" s="90"/>
      <x:c r="H30" s="90"/>
      <x:c r="I30" s="90"/>
      <x:c r="J30" s="90"/>
      <x:c r="K30" s="2"/>
      <x:c r="L30" s="2"/>
    </x:row>
    <x:row r="31" ht="21" hidden="0" customHeight="1">
      <x:c r="A31" s="90"/>
      <x:c r="B31" s="90" t="str">
        <x:v>PV of terminal value</x:v>
      </x:c>
      <x:c r="C31" s="137" t="n">
        <x:f aca="0">C30/(1+C10)^G15</x:f>
        <x:v>1476.0520387430504</x:v>
      </x:c>
      <x:c r="D31" s="90"/>
      <x:c r="E31" s="90"/>
      <x:c r="F31" s="90"/>
      <x:c r="G31" s="90"/>
      <x:c r="H31" s="90"/>
      <x:c r="I31" s="90"/>
      <x:c r="J31" s="90"/>
      <x:c r="K31" s="2"/>
      <x:c r="L31" s="2"/>
    </x:row>
    <x:row r="32" ht="21" hidden="0" customHeight="1">
      <x:c r="A32" s="90"/>
      <x:c r="B32" s="110" t="str">
        <x:v>Enterprise value: perpetuity</x:v>
      </x:c>
      <x:c r="C32" s="140" t="n">
        <x:f aca="0">C22+C31</x:f>
        <x:v>2057.94736082925</x:v>
      </x:c>
      <x:c r="D32" s="90"/>
      <x:c r="E32" s="90"/>
      <x:c r="F32" s="90"/>
      <x:c r="G32" s="90"/>
      <x:c r="H32" s="90"/>
      <x:c r="I32" s="90"/>
      <x:c r="J32" s="90"/>
      <x:c r="K32" s="2"/>
      <x:c r="L32" s="2"/>
    </x:row>
    <x:row r="33" ht="21" hidden="0" customHeight="1">
      <x:c r="A33" s="90"/>
      <x:c r="B33" s="90" t="str">
        <x:v>Terminal value / enterprise value</x:v>
      </x:c>
      <x:c r="C33" s="141" t="n">
        <x:f aca="0">IF(C32&gt;0,C31/C32,0)</x:f>
        <x:v>0.7172447978204238</x:v>
      </x:c>
      <x:c r="D33" s="90"/>
      <x:c r="E33" s="124"/>
      <x:c r="F33" s="90"/>
      <x:c r="G33" s="90"/>
      <x:c r="H33" s="90"/>
      <x:c r="I33" s="90"/>
      <x:c r="J33" s="90"/>
      <x:c r="K33" s="2"/>
      <x:c r="L33" s="2"/>
    </x:row>
    <x:row r="34" ht="21" hidden="0" customHeight="1">
      <x:c r="A34" s="90"/>
      <x:c r="B34" s="90"/>
      <x:c r="C34" s="130"/>
      <x:c r="D34" s="90"/>
      <x:c r="E34" s="90"/>
      <x:c r="F34" s="90"/>
      <x:c r="G34" s="90"/>
      <x:c r="H34" s="90"/>
      <x:c r="I34" s="90"/>
      <x:c r="J34" s="90"/>
      <x:c r="K34" s="2"/>
      <x:c r="L34" s="2"/>
    </x:row>
    <x:row r="35" ht="21" hidden="0" customHeight="1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2"/>
      <x:c r="L35" s="2"/>
    </x:row>
    <x:row r="36" ht="21" hidden="0" customHeight="1">
      <x:c r="A36" s="90"/>
      <x:c r="B36" s="110" t="str">
        <x:v>Exit multiple: adjusted EBITDA</x:v>
      </x:c>
      <x:c r="C36" s="217" t="n">
        <x:f>'Assumptions'!$C$32</x:f>
        <x:v>6</x:v>
      </x:c>
      <x:c r="D36" s="90"/>
      <x:c r="E36" s="90"/>
      <x:c r="F36" s="90"/>
      <x:c r="G36" s="90"/>
      <x:c r="H36" s="90"/>
      <x:c r="I36" s="90"/>
      <x:c r="J36" s="90"/>
      <x:c r="K36" s="2"/>
      <x:c r="L36" s="2"/>
    </x:row>
    <x:row r="37" ht="21" hidden="0" customHeight="1">
      <x:c r="A37" s="90"/>
      <x:c r="B37" s="90" t="str">
        <x:v>Final-year adjusted EBITDA</x:v>
      </x:c>
      <x:c r="C37" s="195" t="n">
        <x:f aca="0">'Operating Forecast'!G11</x:f>
        <x:v>377.0627533420321</x:v>
      </x:c>
      <x:c r="D37" s="90"/>
      <x:c r="E37" s="90"/>
      <x:c r="F37" s="90"/>
      <x:c r="G37" s="90"/>
      <x:c r="H37" s="90"/>
      <x:c r="I37" s="90"/>
      <x:c r="J37" s="90"/>
      <x:c r="K37" s="2"/>
      <x:c r="L37" s="2"/>
    </x:row>
    <x:row r="38" ht="21" hidden="0" customHeight="1">
      <x:c r="A38" s="90"/>
      <x:c r="B38" s="90" t="str">
        <x:v>Exit terminal value</x:v>
      </x:c>
      <x:c r="C38" s="137" t="n">
        <x:f aca="0">C36*C37</x:f>
        <x:v>2262.376520052193</x:v>
      </x:c>
      <x:c r="D38" s="90"/>
      <x:c r="E38" s="90"/>
      <x:c r="F38" s="90"/>
      <x:c r="G38" s="90"/>
      <x:c r="H38" s="90"/>
      <x:c r="I38" s="90"/>
      <x:c r="J38" s="90"/>
      <x:c r="K38" s="2"/>
      <x:c r="L38" s="2"/>
    </x:row>
    <x:row r="39" ht="21" hidden="0" customHeight="1">
      <x:c r="A39" s="90"/>
      <x:c r="B39" s="90" t="str">
        <x:v>PV of exit terminal value</x:v>
      </x:c>
      <x:c r="C39" s="137" t="n">
        <x:f aca="0">C38/(1+C10)^G15</x:f>
        <x:v>1549.0371858567098</x:v>
      </x:c>
      <x:c r="D39" s="90"/>
      <x:c r="E39" s="90"/>
      <x:c r="F39" s="90"/>
      <x:c r="G39" s="90"/>
      <x:c r="H39" s="90"/>
      <x:c r="I39" s="90"/>
      <x:c r="J39" s="90"/>
      <x:c r="K39" s="2"/>
      <x:c r="L39" s="2"/>
    </x:row>
    <x:row r="40" ht="21" hidden="0" customHeight="1">
      <x:c r="A40" s="90"/>
      <x:c r="B40" s="110" t="str">
        <x:v>Enterprise value: exit method</x:v>
      </x:c>
      <x:c r="C40" s="140" t="n">
        <x:f aca="0">C22+C39</x:f>
        <x:v>2130.932507942909</x:v>
      </x:c>
      <x:c r="D40" s="90"/>
      <x:c r="E40" s="90"/>
      <x:c r="F40" s="90"/>
      <x:c r="G40" s="90"/>
      <x:c r="H40" s="90"/>
      <x:c r="I40" s="90"/>
      <x:c r="J40" s="90"/>
      <x:c r="K40" s="2"/>
      <x:c r="L40" s="2"/>
    </x:row>
    <x:row r="41" ht="21" hidden="0" customHeight="1">
      <x:c r="A41" s="90"/>
      <x:c r="B41" s="90"/>
      <x:c r="C41" s="126"/>
      <x:c r="D41" s="90"/>
      <x:c r="E41" s="90"/>
      <x:c r="F41" s="90"/>
      <x:c r="G41" s="90"/>
      <x:c r="H41" s="90"/>
      <x:c r="I41" s="90"/>
      <x:c r="J41" s="90"/>
      <x:c r="K41" s="2"/>
      <x:c r="L41" s="2"/>
    </x:row>
    <x:row r="42" ht="21" hidden="0" customHeight="1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2"/>
      <x:c r="L42" s="2"/>
    </x:row>
    <x:row r="43" ht="21" hidden="0" customHeight="1">
      <x:c r="A43" s="110"/>
      <x:c r="B43" s="110"/>
      <x:c r="C43" s="110" t="str">
        <x:v>Perpetuity</x:v>
      </x:c>
      <x:c r="D43" s="110" t="str">
        <x:v>Exit multiple</x:v>
      </x:c>
      <x:c r="E43" s="110"/>
      <x:c r="F43" s="110"/>
      <x:c r="G43" s="110"/>
      <x:c r="H43" s="110"/>
      <x:c r="I43" s="110"/>
      <x:c r="J43" s="110"/>
      <x:c r="K43" s="2"/>
      <x:c r="L43" s="2"/>
    </x:row>
    <x:row r="44" ht="21" hidden="0" customHeight="1">
      <x:c r="A44" s="90"/>
      <x:c r="B44" s="90" t="str">
        <x:v>Enterprise value</x:v>
      </x:c>
      <x:c r="C44" s="140" t="n">
        <x:f>C32</x:f>
        <x:v>2057.94736082925</x:v>
      </x:c>
      <x:c r="D44" s="140" t="n">
        <x:f>C40</x:f>
        <x:v>2130.932507942909</x:v>
      </x:c>
      <x:c r="E44" s="90"/>
      <x:c r="F44" s="90"/>
      <x:c r="G44" s="90"/>
      <x:c r="H44" s="90"/>
      <x:c r="I44" s="90"/>
      <x:c r="J44" s="90"/>
      <x:c r="K44" s="2"/>
      <x:c r="L44" s="2"/>
    </x:row>
    <x:row r="45" ht="21" hidden="0" customHeight="1">
      <x:c r="A45" s="90"/>
      <x:c r="B45" s="110" t="str">
        <x:v>Add net cash after reserves</x:v>
      </x:c>
      <x:c r="C45" s="192" t="n">
        <x:f aca="0">'Source Inputs'!$C$43</x:f>
        <x:v>425.97500000000014</x:v>
      </x:c>
      <x:c r="D45" s="192" t="n">
        <x:f aca="0">'Source Inputs'!$C$43</x:f>
        <x:v>425.97500000000014</x:v>
      </x:c>
      <x:c r="E45" s="90"/>
      <x:c r="F45" s="90"/>
      <x:c r="G45" s="90"/>
      <x:c r="H45" s="90"/>
      <x:c r="I45" s="90"/>
      <x:c r="J45" s="90"/>
      <x:c r="K45" s="2"/>
      <x:c r="L45" s="2"/>
    </x:row>
    <x:row r="46" ht="21" hidden="0" customHeight="1">
      <x:c r="A46" s="90"/>
      <x:c r="B46" s="90" t="str">
        <x:v>Add separate asset value</x:v>
      </x:c>
      <x:c r="C46" s="195" t="n">
        <x:f aca="0">'Source Inputs'!$C$15</x:f>
        <x:v>0</x:v>
      </x:c>
      <x:c r="D46" s="195" t="n">
        <x:f aca="0">'Source Inputs'!$C$15</x:f>
        <x:v>0</x:v>
      </x:c>
      <x:c r="E46" s="90"/>
      <x:c r="F46" s="90"/>
      <x:c r="G46" s="90"/>
      <x:c r="H46" s="90"/>
      <x:c r="I46" s="90"/>
      <x:c r="J46" s="90"/>
      <x:c r="K46" s="2"/>
      <x:c r="L46" s="2"/>
    </x:row>
    <x:row r="47" ht="21" hidden="0" customHeight="1">
      <x:c r="A47" s="90"/>
      <x:c r="B47" s="110" t="str">
        <x:v>Equity value</x:v>
      </x:c>
      <x:c r="C47" s="140" t="n">
        <x:f aca="0">SUM(C44:C46)</x:f>
        <x:v>2483.9223608292505</x:v>
      </x:c>
      <x:c r="D47" s="140" t="n">
        <x:f aca="0">SUM(D44:D46)</x:f>
        <x:v>2556.9075079429094</x:v>
      </x:c>
      <x:c r="E47" s="90"/>
      <x:c r="F47" s="90"/>
      <x:c r="G47" s="90"/>
      <x:c r="H47" s="90"/>
      <x:c r="I47" s="90"/>
      <x:c r="J47" s="90"/>
      <x:c r="K47" s="2"/>
      <x:c r="L47" s="2"/>
    </x:row>
    <x:row r="48" ht="21" hidden="0" customHeight="1">
      <x:c r="A48" s="90"/>
      <x:c r="B48" s="90" t="str">
        <x:v>Diluted share assumption</x:v>
      </x:c>
      <x:c r="C48" s="195" t="n">
        <x:f aca="0">'Source Inputs'!$C$8</x:f>
        <x:v>34.3</x:v>
      </x:c>
      <x:c r="D48" s="195" t="n">
        <x:f aca="0">'Source Inputs'!$C$8</x:f>
        <x:v>34.3</x:v>
      </x:c>
      <x:c r="E48" s="90"/>
      <x:c r="F48" s="90"/>
      <x:c r="G48" s="90"/>
      <x:c r="H48" s="90"/>
      <x:c r="I48" s="90"/>
      <x:c r="J48" s="90"/>
      <x:c r="K48" s="2"/>
      <x:c r="L48" s="2"/>
    </x:row>
    <x:row r="49" ht="21" hidden="0" customHeight="1">
      <x:c r="A49" s="90"/>
      <x:c r="B49" s="110" t="str">
        <x:v>Value per share</x:v>
      </x:c>
      <x:c r="C49" s="218" t="n">
        <x:f aca="0">IF(C48&gt;0,C47/C48,0)</x:f>
        <x:v>72.4175615402114</x:v>
      </x:c>
      <x:c r="D49" s="218" t="n">
        <x:f aca="0">IF(D48&gt;0,D47/D48,0)</x:f>
        <x:v>74.54540839483701</x:v>
      </x:c>
      <x:c r="E49" s="90"/>
      <x:c r="F49" s="90"/>
      <x:c r="G49" s="90"/>
      <x:c r="H49" s="90"/>
      <x:c r="I49" s="90"/>
      <x:c r="J49" s="90"/>
      <x:c r="K49" s="2"/>
      <x:c r="L49" s="2"/>
    </x:row>
    <x:row r="50" ht="21" hidden="0" customHeight="1">
      <x:c r="A50" s="90"/>
      <x:c r="B50" s="90" t="str">
        <x:v>Share-price assumption</x:v>
      </x:c>
      <x:c r="C50" s="220" t="n">
        <x:f aca="0">'Source Inputs'!$C$7</x:f>
        <x:v>55.7</x:v>
      </x:c>
      <x:c r="D50" s="220" t="n">
        <x:f aca="0">'Source Inputs'!$C$7</x:f>
        <x:v>55.7</x:v>
      </x:c>
      <x:c r="E50" s="90"/>
      <x:c r="F50" s="90"/>
      <x:c r="G50" s="90"/>
      <x:c r="H50" s="90"/>
      <x:c r="I50" s="90"/>
      <x:c r="J50" s="90"/>
      <x:c r="K50" s="2"/>
      <x:c r="L50" s="2"/>
    </x:row>
    <x:row r="51" ht="21" hidden="0" customHeight="1">
      <x:c r="A51" s="90"/>
      <x:c r="B51" s="110" t="str">
        <x:v>Value / price less one</x:v>
      </x:c>
      <x:c r="C51" s="144" t="n">
        <x:f aca="0">IF(C50&gt;0,C49/C50-1,0)</x:f>
        <x:v>0.3001357547614254</x:v>
      </x:c>
      <x:c r="D51" s="144" t="n">
        <x:f aca="0">IF(D50&gt;0,D49/D50-1,0)</x:f>
        <x:v>0.33833767315685837</x:v>
      </x:c>
      <x:c r="E51" s="90"/>
      <x:c r="F51" s="90"/>
      <x:c r="G51" s="90"/>
      <x:c r="H51" s="90"/>
      <x:c r="I51" s="90"/>
      <x:c r="J51" s="90"/>
      <x:c r="K51" s="2"/>
      <x:c r="L51" s="2"/>
    </x:row>
    <x:row r="52" ht="21" hidden="0" customHeight="1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2"/>
      <x:c r="L52" s="2"/>
    </x:row>
    <x:row r="53" ht="21" hidden="0" customHeight="1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2"/>
      <x:c r="L53" s="2"/>
    </x:row>
    <x:row r="54" ht="21" hidden="0" customHeight="1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2"/>
      <x:c r="L54" s="2"/>
    </x:row>
    <x:row r="55" ht="21" hidden="0" customHeight="1">
      <x:c r="A55" s="90"/>
      <x:c r="B55" s="106" t="str">
        <x:v>Terminal cash flow uses sustainable depreciation, capital expenditure and working capital at terminal growth. Existing acquired-intangible amortization expires before perpetuity. Future acquisition spending defaults to zero in the organic terminal case.</x:v>
      </x:c>
      <x:c r="C55" s="106"/>
      <x:c r="D55" s="106"/>
      <x:c r="E55" s="106"/>
      <x:c r="F55" s="106"/>
      <x:c r="G55" s="106"/>
      <x:c r="H55" s="106"/>
      <x:c r="I55" s="106"/>
      <x:c r="J55" s="106"/>
      <x:c r="K55" s="2"/>
      <x:c r="L55" s="2"/>
    </x:row>
    <x:row r="56" ht="21" hidden="0" customHeight="1">
      <x:c r="A56" s="90"/>
      <x:c r="B56" s="106"/>
      <x:c r="C56" s="106"/>
      <x:c r="D56" s="106"/>
      <x:c r="E56" s="106"/>
      <x:c r="F56" s="106"/>
      <x:c r="G56" s="106"/>
      <x:c r="H56" s="106"/>
      <x:c r="I56" s="106"/>
      <x:c r="J56" s="106"/>
      <x:c r="K56" s="2"/>
      <x:c r="L56" s="2"/>
    </x:row>
    <x:row r="57" ht="21" hidden="0" customHeight="1">
      <x:c r="A57" s="90"/>
      <x:c r="B57" s="106"/>
      <x:c r="C57" s="106"/>
      <x:c r="D57" s="106"/>
      <x:c r="E57" s="106"/>
      <x:c r="F57" s="106"/>
      <x:c r="G57" s="106"/>
      <x:c r="H57" s="106"/>
      <x:c r="I57" s="106"/>
      <x:c r="J57" s="106"/>
      <x:c r="K57" s="2"/>
      <x:c r="L57" s="2"/>
    </x:row>
    <x:row r="58" ht="21" hidden="0" customHeight="1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2"/>
      <x:c r="L58" s="2"/>
    </x:row>
    <x:row r="59" ht="21" hidden="0" customHeight="1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2"/>
      <x:c r="L59" s="2"/>
    </x:row>
    <x:row r="60" ht="21" hidden="0" customHeight="1">
      <x:c r="A60" s="90"/>
      <x:c r="B60" s="106" t="str">
        <x:v>Discounting assumption: remaining H2 cash flows are allocated evenly after the valuation date. The Connectivity sale proceeds are already in cash; the sold earnings and one-time sale gain are excluded.</x:v>
      </x:c>
      <x:c r="C60" s="106"/>
      <x:c r="D60" s="106"/>
      <x:c r="E60" s="106"/>
      <x:c r="F60" s="106"/>
      <x:c r="G60" s="106"/>
      <x:c r="H60" s="106"/>
      <x:c r="I60" s="106"/>
      <x:c r="J60" s="106"/>
      <x:c r="K60" s="2"/>
      <x:c r="L60" s="2"/>
    </x:row>
    <x:row r="61" ht="21" hidden="0" customHeight="1">
      <x:c r="A61" s="90"/>
      <x:c r="B61" s="106"/>
      <x:c r="C61" s="106"/>
      <x:c r="D61" s="106"/>
      <x:c r="E61" s="106"/>
      <x:c r="F61" s="106"/>
      <x:c r="G61" s="106"/>
      <x:c r="H61" s="106"/>
      <x:c r="I61" s="106"/>
      <x:c r="J61" s="106"/>
      <x:c r="K61" s="2"/>
      <x:c r="L61" s="2"/>
    </x:row>
    <x:row r="62" ht="21" hidden="0" customHeight="1">
      <x:c r="A62" s="90"/>
      <x:c r="B62" s="106"/>
      <x:c r="C62" s="106"/>
      <x:c r="D62" s="106"/>
      <x:c r="E62" s="106"/>
      <x:c r="F62" s="106"/>
      <x:c r="G62" s="106"/>
      <x:c r="H62" s="106"/>
      <x:c r="I62" s="106"/>
      <x:c r="J62" s="106"/>
      <x:c r="K62" s="2"/>
      <x:c r="L62" s="2"/>
    </x:row>
    <x:row r="63" ht="21" hidden="0" customHeight="1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2"/>
      <x:c r="L63" s="2"/>
    </x:row>
    <x:row r="64" ht="21" hidden="0" customHeight="1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2"/>
      <x:c r="L64" s="2"/>
    </x:row>
    <x:row r="65" ht="21" hidden="0" customHeight="1">
      <x:c r="A65" s="90"/>
      <x:c r="B65" s="106" t="str">
        <x:v>Cash reserved for operations and current taxes is excluded from net cash. Other investments and escrow are valued at zero unless a separate asset assumption is entered. WACC must exceed terminal growth.</x:v>
      </x:c>
      <x:c r="C65" s="106"/>
      <x:c r="D65" s="106"/>
      <x:c r="E65" s="106"/>
      <x:c r="F65" s="106"/>
      <x:c r="G65" s="106"/>
      <x:c r="H65" s="106"/>
      <x:c r="I65" s="106"/>
      <x:c r="J65" s="106"/>
      <x:c r="K65" s="2"/>
      <x:c r="L65" s="2"/>
    </x:row>
    <x:row r="66" ht="21" hidden="0" customHeight="1">
      <x:c r="A66" s="90"/>
      <x:c r="B66" s="106"/>
      <x:c r="C66" s="106"/>
      <x:c r="D66" s="106"/>
      <x:c r="E66" s="106"/>
      <x:c r="F66" s="106"/>
      <x:c r="G66" s="106"/>
      <x:c r="H66" s="106"/>
      <x:c r="I66" s="106"/>
      <x:c r="J66" s="106"/>
      <x:c r="K66" s="2"/>
      <x:c r="L66" s="2"/>
    </x:row>
    <x:row r="67" ht="21" hidden="0" customHeight="1">
      <x:c r="A67" s="90"/>
      <x:c r="B67" s="106"/>
      <x:c r="C67" s="106"/>
      <x:c r="D67" s="106"/>
      <x:c r="E67" s="106"/>
      <x:c r="F67" s="106"/>
      <x:c r="G67" s="106"/>
      <x:c r="H67" s="106"/>
      <x:c r="I67" s="106"/>
      <x:c r="J67" s="106"/>
      <x:c r="K67" s="2"/>
      <x:c r="L67" s="2"/>
    </x:row>
    <x:row r="68" ht="21" hidden="0" customHeight="1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2"/>
      <x:c r="L68" s="2"/>
    </x:row>
    <x:row r="69" ht="21" hidden="0" customHeight="1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2"/>
      <x:c r="L69" s="2"/>
    </x:row>
    <x:row r="70" ht="21" hidden="0" customHeight="1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2"/>
      <x:c r="L70" s="2"/>
    </x:row>
    <x:row r="71" ht="21" hidden="0" customHeight="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2"/>
      <x:c r="L71" s="2"/>
    </x:row>
    <x:row r="72" ht="21" hidden="0" customHeight="1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2"/>
      <x:c r="L72" s="2"/>
    </x:row>
    <x:row r="73" ht="21" hidden="0" customHeight="1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2"/>
      <x:c r="L73" s="2"/>
    </x:row>
    <x:row r="74" ht="21" hidden="0" customHeight="1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2"/>
      <x:c r="L74" s="2"/>
    </x:row>
    <x:row r="75" ht="21" hidden="0" customHeight="1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2"/>
      <x:c r="L75" s="2"/>
    </x:row>
    <x:row r="76" ht="15" hidden="0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</x:row>
  </x:sheetData>
  <x:mergeCells>
    <x:mergeCell ref="A1:J1"/>
    <x:mergeCell ref="A2:J3"/>
    <x:mergeCell ref="B55:J57"/>
    <x:mergeCell ref="B60:J62"/>
    <x:mergeCell ref="B65:J67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6" hidden="0" customWidth="1"/>
    <x:col min="3" max="3" width="17" hidden="0" customWidth="1"/>
    <x:col min="4" max="4" width="17" hidden="0" customWidth="1"/>
    <x:col min="5" max="7" width="13" hidden="0" customWidth="1"/>
    <x:col min="5" max="5" width="17" hidden="0" customWidth="1"/>
    <x:col min="6" max="6" width="17" hidden="0" customWidth="1"/>
    <x:col min="7" max="7" width="17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2" hidden="0" customHeight="1">
      <x:c r="A1" s="133" t="str">
        <x:v>TRANSACTIONS | REFERENCE ASSUMPTIONS</x:v>
      </x:c>
      <x:c r="B1" s="133"/>
      <x:c r="C1" s="133"/>
      <x:c r="D1" s="133"/>
      <x:c r="E1" s="133"/>
      <x:c r="F1" s="133"/>
      <x:c r="G1" s="133"/>
      <x:c r="H1" s="133"/>
      <x:c r="I1" s="92"/>
      <x:c r="J1" s="92"/>
    </x:row>
    <x:row r="2" ht="21" hidden="0" customHeight="1">
      <x:c r="A2" s="135" t="str">
        <x:v>Transaction references are excluded from the valuation summary.</x:v>
      </x:c>
      <x:c r="B2" s="135"/>
      <x:c r="C2" s="135"/>
      <x:c r="D2" s="135"/>
      <x:c r="E2" s="135"/>
      <x:c r="F2" s="135"/>
      <x:c r="G2" s="135"/>
      <x:c r="H2" s="135"/>
      <x:c r="I2" s="94"/>
      <x:c r="J2" s="94"/>
    </x:row>
    <x:row r="3" ht="21" hidden="0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</x:row>
    <x:row r="4" ht="21" hidden="0" customHeight="1">
      <x:c r="A4" s="110"/>
      <x:c r="B4" s="110"/>
      <x:c r="C4" s="110"/>
      <x:c r="D4" s="110"/>
      <x:c r="E4" s="110"/>
      <x:c r="F4" s="110"/>
      <x:c r="G4" s="110"/>
      <x:c r="H4" s="110"/>
      <x:c r="I4" s="90"/>
      <x:c r="J4" s="90"/>
    </x:row>
    <x:row r="5" ht="21" hidden="0" customHeight="1">
      <x:c r="A5" s="90"/>
      <x:c r="B5" s="123" t="str">
        <x:v>Company / target</x:v>
      </x:c>
      <x:c r="C5" s="123" t="str">
        <x:v>Counterparty</x:v>
      </x:c>
      <x:c r="D5" s="123" t="str">
        <x:v>Date</x:v>
      </x:c>
      <x:c r="E5" s="113" t="str">
        <x:v>Value ($m)</x:v>
      </x:c>
      <x:c r="F5" s="113" t="str">
        <x:v>Basis</x:v>
      </x:c>
      <x:c r="G5" s="113"/>
      <x:c r="H5" s="90"/>
      <x:c r="I5" s="90"/>
      <x:c r="J5" s="90"/>
    </x:row>
    <x:row r="6" ht="35" hidden="0" customHeight="1">
      <x:c r="A6" s="90"/>
      <x:c r="B6" s="96" t="str">
        <x:v>MediaAlpha, Inc.</x:v>
      </x:c>
      <x:c r="C6" s="96" t="str">
        <x:v>WM Hinson</x:v>
      </x:c>
      <x:c r="D6" s="96" t="str">
        <x:v>May-2023</x:v>
      </x:c>
      <x:c r="E6" s="256" t="n">
        <x:v>758</x:v>
      </x:c>
      <x:c r="F6" s="257" t="str">
        <x:v>Assumption</x:v>
      </x:c>
      <x:c r="G6" s="183"/>
      <x:c r="H6" s="90"/>
      <x:c r="I6" s="90"/>
      <x:c r="J6" s="90"/>
    </x:row>
    <x:row r="7" ht="35" hidden="0" customHeight="1">
      <x:c r="A7" s="90"/>
      <x:c r="B7" s="96" t="str">
        <x:v>Z Holdings (LY Corp)</x:v>
      </x:c>
      <x:c r="C7" s="96" t="str">
        <x:v>A Holdings</x:v>
      </x:c>
      <x:c r="D7" s="96" t="str">
        <x:v>Jan-2021</x:v>
      </x:c>
      <x:c r="E7" s="256" t="n">
        <x:v>34864.4</x:v>
      </x:c>
      <x:c r="F7" s="257" t="str">
        <x:v>Assumption</x:v>
      </x:c>
      <x:c r="G7" s="130"/>
      <x:c r="H7" s="90"/>
      <x:c r="I7" s="90"/>
      <x:c r="J7" s="90"/>
    </x:row>
    <x:row r="8" ht="35" hidden="0" customHeight="1">
      <x:c r="A8" s="90"/>
      <x:c r="B8" s="96" t="str">
        <x:v>Grindr Inc.</x:v>
      </x:c>
      <x:c r="C8" s="96" t="str">
        <x:v>Kunlun Group</x:v>
      </x:c>
      <x:c r="D8" s="96" t="str">
        <x:v>Mar-2020</x:v>
      </x:c>
      <x:c r="E8" s="256" t="n">
        <x:v>3033.9</x:v>
      </x:c>
      <x:c r="F8" s="257" t="str">
        <x:v>Assumption</x:v>
      </x:c>
      <x:c r="G8" s="183"/>
      <x:c r="H8" s="90"/>
      <x:c r="I8" s="90"/>
      <x:c r="J8" s="90"/>
    </x:row>
    <x:row r="9" ht="35" hidden="0" customHeight="1">
      <x:c r="A9" s="90"/>
      <x:c r="B9" s="96" t="str">
        <x:v>trivago N.V.</x:v>
      </x:c>
      <x:c r="C9" s="96" t="str">
        <x:v>Par Capital</x:v>
      </x:c>
      <x:c r="D9" s="96" t="str">
        <x:v>Sep-2018</x:v>
      </x:c>
      <x:c r="E9" s="256" t="n">
        <x:v>285.8</x:v>
      </x:c>
      <x:c r="F9" s="257" t="str">
        <x:v>Assumption</x:v>
      </x:c>
      <x:c r="G9" s="183"/>
      <x:c r="H9" s="90"/>
      <x:c r="I9" s="90"/>
      <x:c r="J9" s="90"/>
    </x:row>
    <x:row r="10" ht="35" hidden="0" customHeight="1">
      <x:c r="A10" s="90"/>
      <x:c r="B10" s="96" t="str">
        <x:v>Snap Inc. (minority)</x:v>
      </x:c>
      <x:c r="C10" s="96" t="str">
        <x:v>—</x:v>
      </x:c>
      <x:c r="D10" s="96" t="str">
        <x:v>Aug-2018</x:v>
      </x:c>
      <x:c r="E10" s="256" t="n">
        <x:v>10816.8</x:v>
      </x:c>
      <x:c r="F10" s="257" t="str">
        <x:v>Assumption</x:v>
      </x:c>
      <x:c r="G10" s="183"/>
      <x:c r="H10" s="90"/>
      <x:c r="I10" s="90"/>
      <x:c r="J10" s="90"/>
    </x:row>
    <x:row r="11" ht="21" hidden="0" customHeight="1">
      <x:c r="A11" s="90"/>
      <x:c r="B11" s="90"/>
      <x:c r="C11" s="90"/>
      <x:c r="D11" s="90"/>
      <x:c r="E11" s="127"/>
      <x:c r="F11" s="130"/>
      <x:c r="G11" s="130"/>
      <x:c r="H11" s="90"/>
      <x:c r="I11" s="90"/>
      <x:c r="J11" s="90"/>
    </x:row>
    <x:row r="12" ht="21" hidden="0" customHeight="1">
      <x:c r="A12" s="90"/>
      <x:c r="B12" s="90"/>
      <x:c r="C12" s="90"/>
      <x:c r="D12" s="90"/>
      <x:c r="E12" s="90"/>
      <x:c r="F12" s="90"/>
      <x:c r="G12" s="90"/>
      <x:c r="H12" s="90"/>
      <x:c r="I12" s="90"/>
      <x:c r="J12" s="90"/>
    </x:row>
    <x:row r="13" ht="21" hidden="0" customHeight="1">
      <x:c r="A13" s="110"/>
      <x:c r="B13" s="110"/>
      <x:c r="C13" s="110"/>
      <x:c r="D13" s="110"/>
      <x:c r="E13" s="110"/>
      <x:c r="F13" s="110"/>
      <x:c r="G13" s="110"/>
      <x:c r="H13" s="110"/>
      <x:c r="I13" s="90"/>
      <x:c r="J13" s="90"/>
    </x:row>
    <x:row r="14" ht="21" hidden="0" customHeight="1">
      <x:c r="A14" s="90"/>
      <x:c r="B14" s="106" t="str">
        <x:v>A precedent valuation requires the same ownership stake, enterprise-value definition and contemporaneous earnings period. Proposed, terminated and completed transactions are separate categories.</x:v>
      </x:c>
      <x:c r="C14" s="106"/>
      <x:c r="D14" s="258"/>
      <x:c r="E14" s="106"/>
      <x:c r="F14" s="106"/>
      <x:c r="G14" s="106"/>
      <x:c r="H14" s="106"/>
      <x:c r="I14" s="106"/>
      <x:c r="J14" s="106"/>
    </x:row>
    <x:row r="15" ht="21" hidden="0" customHeight="1">
      <x:c r="A15" s="90"/>
      <x:c r="B15" s="106"/>
      <x:c r="C15" s="106"/>
      <x:c r="D15" s="258"/>
      <x:c r="E15" s="106"/>
      <x:c r="F15" s="106"/>
      <x:c r="G15" s="106"/>
      <x:c r="H15" s="106"/>
      <x:c r="I15" s="106"/>
      <x:c r="J15" s="106"/>
    </x:row>
    <x:row r="16" ht="21" hidden="0" customHeight="1">
      <x:c r="A16" s="90"/>
      <x:c r="B16" s="106"/>
      <x:c r="C16" s="106"/>
      <x:c r="D16" s="242"/>
      <x:c r="E16" s="106"/>
      <x:c r="F16" s="106"/>
      <x:c r="G16" s="106"/>
      <x:c r="H16" s="106"/>
      <x:c r="I16" s="106"/>
      <x:c r="J16" s="106"/>
    </x:row>
    <x:row r="17" ht="21" hidden="0" customHeight="1">
      <x:c r="A17" s="90"/>
      <x:c r="B17" s="90"/>
      <x:c r="C17" s="90"/>
      <x:c r="D17" s="127"/>
      <x:c r="E17" s="90"/>
      <x:c r="F17" s="90"/>
      <x:c r="G17" s="90"/>
      <x:c r="H17" s="90"/>
      <x:c r="I17" s="90"/>
      <x:c r="J17" s="90"/>
    </x:row>
    <x:row r="18" ht="21" hidden="0" customHeight="1">
      <x:c r="A18" s="90"/>
      <x:c r="B18" s="110"/>
      <x:c r="C18" s="90"/>
      <x:c r="D18" s="185"/>
      <x:c r="E18" s="90"/>
      <x:c r="F18" s="90"/>
      <x:c r="G18" s="90"/>
      <x:c r="H18" s="90"/>
      <x:c r="I18" s="90"/>
      <x:c r="J18" s="90"/>
    </x:row>
    <x:row r="19" ht="21" hidden="0" customHeight="1">
      <x:c r="A19" s="90"/>
      <x:c r="B19" s="110"/>
      <x:c r="C19" s="90"/>
      <x:c r="D19" s="185"/>
      <x:c r="E19" s="90"/>
      <x:c r="F19" s="90"/>
      <x:c r="G19" s="90"/>
      <x:c r="H19" s="90"/>
      <x:c r="I19" s="90"/>
      <x:c r="J19" s="90"/>
    </x:row>
    <x:row r="20" ht="21" hidden="0" customHeight="1">
      <x:c r="A20" s="90"/>
      <x:c r="B20" s="124"/>
      <x:c r="C20" s="90"/>
      <x:c r="D20" s="90"/>
      <x:c r="E20" s="90"/>
      <x:c r="F20" s="90"/>
      <x:c r="G20" s="90"/>
      <x:c r="H20" s="90"/>
      <x:c r="I20" s="90"/>
      <x:c r="J20" s="90"/>
    </x:row>
    <x:row r="21" ht="21" hidden="0" customHeight="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</x:row>
    <x:row r="22" ht="21" hidden="0" customHeight="1">
      <x:c r="A22" s="90"/>
      <x:c r="B22" s="90"/>
      <x:c r="C22" s="90"/>
      <x:c r="D22" s="90"/>
      <x:c r="E22" s="90"/>
      <x:c r="F22" s="90"/>
      <x:c r="G22" s="90"/>
      <x:c r="H22" s="90"/>
      <x:c r="I22" s="90"/>
      <x:c r="J22" s="90"/>
    </x:row>
    <x:row r="23" ht="21" hidden="0" customHeight="1">
      <x:c r="A23" s="90"/>
      <x:c r="B23" s="90"/>
      <x:c r="C23" s="90"/>
      <x:c r="D23" s="90"/>
      <x:c r="E23" s="90"/>
      <x:c r="F23" s="90"/>
      <x:c r="G23" s="90"/>
      <x:c r="H23" s="90"/>
      <x:c r="I23" s="90"/>
      <x:c r="J23" s="90"/>
    </x:row>
    <x:row r="24" ht="21" hidden="0" customHeight="1">
      <x:c r="A24" s="90"/>
      <x:c r="B24" s="90"/>
      <x:c r="C24" s="90"/>
      <x:c r="D24" s="90"/>
      <x:c r="E24" s="90"/>
      <x:c r="F24" s="90"/>
      <x:c r="G24" s="90"/>
      <x:c r="H24" s="90"/>
      <x:c r="I24" s="90"/>
      <x:c r="J24" s="90"/>
    </x:row>
    <x:row r="25" ht="21" hidden="0" customHeight="1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</x:row>
    <x:row r="26" ht="21" hidden="0" customHeight="1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</x:row>
    <x:row r="27" ht="21" hidden="0" customHeight="1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</x:row>
    <x:row r="28" ht="21" hidden="0" customHeight="1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</x:row>
    <x:row r="29" ht="21" hidden="0" customHeight="1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</x:row>
    <x:row r="30" ht="21" hidden="0" customHeight="1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</x:row>
    <x:row r="31" ht="15" hidden="0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</x:sheetData>
  <x:mergeCells>
    <x:mergeCell ref="A1:J1"/>
    <x:mergeCell ref="A2:J3"/>
    <x:mergeCell ref="B14:J16"/>
  </x:mergeCells>
  <x:pageMargins left="0.7" right="0.7" top="0.75" bottom="0.75" header="0.3" footer="0.3"/>
  <x:legacyDrawing xmlns:r="http://schemas.openxmlformats.org/officeDocument/2006/relationships" r:id="R5c227cf0e5764081"/>
</x:worksheet>
</file>

<file path=xl/worksheets/sheet10.xml><?xml version="1.0" encoding="utf-8"?>
<x:worksheet xmlns:x="http://schemas.openxmlformats.org/spreadsheetml/2006/main">
  <x:sheetPr>
    <x:tabColor rgb="FFFF0000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6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2" hidden="0" customHeight="1">
      <x:c r="A1" s="133" t="str">
        <x:v>SUM OF THE PARTS | SEGMENT REFERENCE</x:v>
      </x:c>
      <x:c r="B1" s="133"/>
      <x:c r="C1" s="133"/>
      <x:c r="D1" s="133"/>
      <x:c r="E1" s="133"/>
      <x:c r="F1" s="133"/>
      <x:c r="G1" s="133"/>
      <x:c r="H1" s="133"/>
      <x:c r="I1" s="92"/>
      <x:c r="J1" s="92"/>
    </x:row>
    <x:row r="2" ht="21" hidden="0" customHeight="1">
      <x:c r="A2" s="135" t="str">
        <x:v>Q2 2026 continuing segments. US$ millions; consolidated valuation controls the summary.</x:v>
      </x:c>
      <x:c r="B2" s="135"/>
      <x:c r="C2" s="135"/>
      <x:c r="D2" s="135"/>
      <x:c r="E2" s="135"/>
      <x:c r="F2" s="135"/>
      <x:c r="G2" s="135"/>
      <x:c r="H2" s="135"/>
      <x:c r="I2" s="94"/>
      <x:c r="J2" s="94"/>
    </x:row>
    <x:row r="3" ht="21" hidden="0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</x:row>
    <x:row r="4" ht="21" hidden="0" customHeight="1">
      <x:c r="A4" s="90"/>
      <x:c r="B4" s="252"/>
      <x:c r="C4" s="252"/>
      <x:c r="D4" s="252"/>
      <x:c r="E4" s="252"/>
      <x:c r="F4" s="252"/>
      <x:c r="G4" s="252"/>
      <x:c r="H4" s="252"/>
      <x:c r="I4" s="90"/>
      <x:c r="J4" s="90"/>
    </x:row>
    <x:row r="5" ht="21" hidden="0" customHeight="1">
      <x:c r="A5" s="90"/>
      <x:c r="B5" s="252" t="str">
        <x:v>Segment</x:v>
      </x:c>
      <x:c r="C5" s="252" t="str">
        <x:v>Revenue</x:v>
      </x:c>
      <x:c r="D5" s="252" t="str">
        <x:v>Adjusted EBITDA</x:v>
      </x:c>
      <x:c r="E5" s="252"/>
      <x:c r="F5" s="252"/>
      <x:c r="G5" s="252"/>
      <x:c r="H5" s="252"/>
      <x:c r="I5" s="90"/>
      <x:c r="J5" s="90"/>
    </x:row>
    <x:row r="6" ht="21" hidden="0" customHeight="1">
      <x:c r="A6" s="90"/>
      <x:c r="B6" s="252" t="str">
        <x:v>Technology &amp; Shopping</x:v>
      </x:c>
      <x:c r="C6" s="252" t="n">
        <x:v>76.757</x:v>
      </x:c>
      <x:c r="D6" s="252" t="n">
        <x:v>19.838</x:v>
      </x:c>
      <x:c r="E6" s="252"/>
      <x:c r="F6" s="252"/>
      <x:c r="G6" s="252"/>
      <x:c r="H6" s="252"/>
      <x:c r="I6" s="90"/>
      <x:c r="J6" s="90"/>
    </x:row>
    <x:row r="7" ht="21" hidden="0" customHeight="1">
      <x:c r="A7" s="90"/>
      <x:c r="B7" s="252" t="str">
        <x:v>Gaming &amp; Entertainment</x:v>
      </x:c>
      <x:c r="C7" s="252" t="n">
        <x:v>46.619</x:v>
      </x:c>
      <x:c r="D7" s="252" t="n">
        <x:v>14.539</x:v>
      </x:c>
      <x:c r="E7" s="252"/>
      <x:c r="F7" s="252"/>
      <x:c r="G7" s="252"/>
      <x:c r="H7" s="252"/>
      <x:c r="I7" s="90"/>
      <x:c r="J7" s="90"/>
    </x:row>
    <x:row r="8" ht="21" hidden="0" customHeight="1">
      <x:c r="A8" s="90"/>
      <x:c r="B8" s="252" t="str">
        <x:v>Health &amp; Wellness</x:v>
      </x:c>
      <x:c r="C8" s="252" t="n">
        <x:v>94.658</x:v>
      </x:c>
      <x:c r="D8" s="252" t="n">
        <x:v>30.195</x:v>
      </x:c>
      <x:c r="E8" s="252"/>
      <x:c r="F8" s="252"/>
      <x:c r="G8" s="252"/>
      <x:c r="H8" s="252"/>
      <x:c r="I8" s="90"/>
      <x:c r="J8" s="90"/>
    </x:row>
    <x:row r="9" ht="21" hidden="0" customHeight="1">
      <x:c r="A9" s="90"/>
      <x:c r="B9" s="90" t="str">
        <x:v>Cybersecurity &amp; Martech</x:v>
      </x:c>
      <x:c r="C9" s="90" t="n">
        <x:v>68.704</x:v>
      </x:c>
      <x:c r="D9" s="90" t="n">
        <x:v>23.6</x:v>
      </x:c>
      <x:c r="E9" s="90"/>
      <x:c r="F9" s="90"/>
      <x:c r="G9" s="90"/>
      <x:c r="H9" s="90"/>
      <x:c r="I9" s="90"/>
      <x:c r="J9" s="90"/>
    </x:row>
    <x:row r="10" ht="21" hidden="0" customHeight="1">
      <x:c r="A10" s="90"/>
      <x:c r="B10" s="90" t="str">
        <x:v>Corporate</x:v>
      </x:c>
      <x:c r="C10" s="90" t="n">
        <x:v>0</x:v>
      </x:c>
      <x:c r="D10" s="90" t="n">
        <x:v>-11.328</x:v>
      </x:c>
      <x:c r="E10" s="90"/>
      <x:c r="F10" s="90"/>
      <x:c r="G10" s="90"/>
      <x:c r="H10" s="90"/>
      <x:c r="I10" s="90"/>
      <x:c r="J10" s="90"/>
    </x:row>
    <x:row r="11" ht="21" hidden="0" customHeight="1">
      <x:c r="A11" s="90"/>
      <x:c r="B11" s="90"/>
      <x:c r="C11" s="90"/>
      <x:c r="D11" s="90"/>
      <x:c r="E11" s="90"/>
      <x:c r="F11" s="90"/>
      <x:c r="G11" s="90"/>
      <x:c r="H11" s="90"/>
      <x:c r="I11" s="90"/>
      <x:c r="J11" s="90"/>
    </x:row>
    <x:row r="12" ht="21" hidden="0" customHeight="1">
      <x:c r="A12" s="90"/>
      <x:c r="B12" s="90" t="str">
        <x:v>Total continuing segments</x:v>
      </x:c>
      <x:c r="C12" s="100" t="n">
        <x:f>SUM(C6:C10)</x:f>
        <x:v>286.738</x:v>
      </x:c>
      <x:c r="D12" s="100" t="n">
        <x:f>SUM(D6:D10)</x:f>
        <x:v>76.844</x:v>
      </x:c>
      <x:c r="E12" s="90"/>
      <x:c r="F12" s="90"/>
      <x:c r="G12" s="90"/>
      <x:c r="H12" s="90"/>
      <x:c r="I12" s="90"/>
      <x:c r="J12" s="90"/>
    </x:row>
    <x:row r="13" ht="21" hidden="0" customHeight="1">
      <x:c r="A13" s="90"/>
      <x:c r="B13" s="90"/>
      <x:c r="C13" s="90"/>
      <x:c r="D13" s="90"/>
      <x:c r="E13" s="90"/>
      <x:c r="F13" s="90"/>
      <x:c r="G13" s="90"/>
      <x:c r="H13" s="90"/>
      <x:c r="I13" s="90"/>
      <x:c r="J13" s="90"/>
    </x:row>
    <x:row r="14" ht="21" hidden="0" customHeight="1">
      <x:c r="A14" s="90"/>
      <x:c r="B14" s="90"/>
      <x:c r="C14" s="90"/>
      <x:c r="D14" s="90"/>
      <x:c r="E14" s="90"/>
      <x:c r="F14" s="90"/>
      <x:c r="G14" s="90"/>
      <x:c r="H14" s="90"/>
      <x:c r="I14" s="90"/>
      <x:c r="J14" s="90"/>
    </x:row>
    <x:row r="15" ht="21" hidden="0" customHeight="1">
      <x:c r="A15" s="90"/>
      <x:c r="B15" s="90"/>
      <x:c r="C15" s="90"/>
      <x:c r="D15" s="90"/>
      <x:c r="E15" s="90"/>
      <x:c r="F15" s="90"/>
      <x:c r="G15" s="90"/>
      <x:c r="H15" s="90"/>
      <x:c r="I15" s="90"/>
      <x:c r="J15" s="90"/>
    </x:row>
    <x:row r="16" ht="21" hidden="0" customHeight="1">
      <x:c r="A16" s="90"/>
      <x:c r="B16" s="106" t="str">
        <x:v>SOTP is not included in the valuation summary. Segment earnings are disclosed, but a standalone sale case also needs central-cost allocation, separation costs, tax leakage and segment-specific multiples.</x:v>
      </x:c>
      <x:c r="C16" s="106"/>
      <x:c r="D16" s="106"/>
      <x:c r="E16" s="106"/>
      <x:c r="F16" s="106"/>
      <x:c r="G16" s="106"/>
      <x:c r="H16" s="106"/>
      <x:c r="I16" s="106"/>
      <x:c r="J16" s="106"/>
    </x:row>
    <x:row r="17" ht="21" hidden="0" customHeight="1">
      <x:c r="A17" s="90"/>
      <x:c r="B17" s="106"/>
      <x:c r="C17" s="106"/>
      <x:c r="D17" s="106"/>
      <x:c r="E17" s="106"/>
      <x:c r="F17" s="106"/>
      <x:c r="G17" s="106"/>
      <x:c r="H17" s="106"/>
      <x:c r="I17" s="106"/>
      <x:c r="J17" s="106"/>
    </x:row>
    <x:row r="18" ht="21" hidden="0" customHeight="1">
      <x:c r="A18" s="90"/>
      <x:c r="B18" s="106"/>
      <x:c r="C18" s="106"/>
      <x:c r="D18" s="106"/>
      <x:c r="E18" s="106"/>
      <x:c r="F18" s="106"/>
      <x:c r="G18" s="106"/>
      <x:c r="H18" s="106"/>
      <x:c r="I18" s="106"/>
      <x:c r="J18" s="106"/>
    </x:row>
    <x:row r="19" ht="21" hidden="0" customHeight="1">
      <x:c r="A19" s="90"/>
      <x:c r="B19" s="90"/>
      <x:c r="C19" s="90"/>
      <x:c r="D19" s="90"/>
      <x:c r="E19" s="90"/>
      <x:c r="F19" s="90"/>
      <x:c r="G19" s="90"/>
      <x:c r="H19" s="90"/>
      <x:c r="I19" s="90"/>
      <x:c r="J19" s="90"/>
    </x:row>
    <x:row r="20" ht="21" hidden="0" customHeight="1">
      <x:c r="A20" s="90"/>
      <x:c r="B20" s="90"/>
      <x:c r="C20" s="90"/>
      <x:c r="D20" s="90"/>
      <x:c r="E20" s="90"/>
      <x:c r="F20" s="90"/>
      <x:c r="G20" s="90"/>
      <x:c r="H20" s="90"/>
      <x:c r="I20" s="90"/>
      <x:c r="J20" s="90"/>
    </x:row>
    <x:row r="21" ht="21" hidden="0" customHeight="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</x:row>
    <x:row r="22" ht="21" hidden="0" customHeight="1">
      <x:c r="A22" s="90"/>
      <x:c r="B22" s="106" t="str">
        <x:v>https://investor.ziffdavis.com/news/news-details/2026/Ziff-Davis-Reports-Second-Quarter-2026-Financial-Results/default.aspx</x:v>
      </x:c>
      <x:c r="C22" s="106"/>
      <x:c r="D22" s="106"/>
      <x:c r="E22" s="106"/>
      <x:c r="F22" s="106"/>
      <x:c r="G22" s="106"/>
      <x:c r="H22" s="106"/>
      <x:c r="I22" s="106"/>
      <x:c r="J22" s="106"/>
    </x:row>
    <x:row r="23" ht="21" hidden="0" customHeight="1">
      <x:c r="A23" s="90"/>
      <x:c r="B23" s="106"/>
      <x:c r="C23" s="106"/>
      <x:c r="D23" s="106"/>
      <x:c r="E23" s="106"/>
      <x:c r="F23" s="106"/>
      <x:c r="G23" s="106"/>
      <x:c r="H23" s="106"/>
      <x:c r="I23" s="106"/>
      <x:c r="J23" s="106"/>
    </x:row>
    <x:row r="24" ht="21" hidden="0" customHeight="1">
      <x:c r="A24" s="90"/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ht="21" hidden="0" customHeight="1">
      <x:c r="A25" s="90"/>
      <x:c r="B25" s="106"/>
      <x:c r="C25" s="106"/>
      <x:c r="D25" s="106"/>
      <x:c r="E25" s="106"/>
      <x:c r="F25" s="106"/>
      <x:c r="G25" s="106"/>
      <x:c r="H25" s="106"/>
      <x:c r="I25" s="106"/>
      <x:c r="J25" s="106"/>
    </x:row>
    <x:row r="26" ht="21" hidden="0" customHeight="1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</x:row>
    <x:row r="27" ht="21" hidden="0" customHeight="1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</x:row>
    <x:row r="28" ht="21" hidden="0" customHeight="1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</x:row>
    <x:row r="29" ht="21" hidden="0" customHeight="1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</x:row>
    <x:row r="30" ht="21" hidden="0" customHeight="1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</x:row>
    <x:row r="31" ht="21" hidden="0" customHeight="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</x:row>
    <x:row r="32" ht="21" hidden="0" customHeight="1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</x:row>
    <x:row r="33" ht="21" hidden="0" customHeight="1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</x:row>
    <x:row r="34" ht="21" hidden="0" customHeight="1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</x:row>
    <x:row r="35" ht="21" hidden="0" customHeight="1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</x:row>
    <x:row r="36" ht="21" hidden="0" customHeight="1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</x:row>
    <x:row r="37" ht="21" hidden="0" customHeight="1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</x:row>
    <x:row r="38" ht="21" hidden="0" customHeight="1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</x:row>
    <x:row r="39" ht="15" hidden="0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</x:sheetData>
  <x:mergeCells>
    <x:mergeCell ref="A1:J1"/>
    <x:mergeCell ref="A2:J3"/>
    <x:mergeCell ref="B16:J18"/>
    <x:mergeCell ref="B22:J25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6" hidden="0" customWidth="1"/>
    <x:col min="3" max="7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2" hidden="0" customHeight="1">
      <x:c r="A1" s="133" t="str">
        <x:v>BUYER RETURNS | PRICE CEILING</x:v>
      </x:c>
      <x:c r="B1" s="133"/>
      <x:c r="C1" s="133"/>
      <x:c r="D1" s="133"/>
      <x:c r="E1" s="133"/>
      <x:c r="F1" s="133"/>
      <x:c r="G1" s="133"/>
      <x:c r="H1" s="133"/>
      <x:c r="I1" s="133"/>
      <x:c r="J1" s="133"/>
    </x:row>
    <x:row r="2" ht="21" hidden="0" customHeight="1">
      <x:c r="A2" s="135" t="str">
        <x:v>Financing and return assumptions; buyer-created synergies are separate.</x:v>
      </x:c>
      <x:c r="B2" s="135"/>
      <x:c r="C2" s="135"/>
      <x:c r="D2" s="135"/>
      <x:c r="E2" s="135"/>
      <x:c r="F2" s="135"/>
      <x:c r="G2" s="135"/>
      <x:c r="H2" s="135"/>
      <x:c r="I2" s="135"/>
      <x:c r="J2" s="135"/>
    </x:row>
    <x:row r="3" ht="21" hidden="0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</x:row>
    <x:row r="4" ht="21" hidden="0" customHeight="1">
      <x:c r="A4" s="110"/>
      <x:c r="B4" s="110"/>
      <x:c r="C4" s="110"/>
      <x:c r="D4" s="110"/>
      <x:c r="E4" s="110"/>
      <x:c r="F4" s="110"/>
      <x:c r="G4" s="110"/>
      <x:c r="H4" s="110"/>
      <x:c r="I4" s="110"/>
      <x:c r="J4" s="110"/>
    </x:row>
    <x:row r="5" ht="21" hidden="0" customHeight="1">
      <x:c r="A5" s="90"/>
      <x:c r="B5" s="90" t="str">
        <x:v>Buyer premium</x:v>
      </x:c>
      <x:c r="C5" s="212" t="n">
        <x:f>'Assumptions'!$C$39</x:f>
        <x:v>0.25</x:v>
      </x:c>
      <x:c r="D5" s="90"/>
      <x:c r="E5" s="90"/>
      <x:c r="F5" s="90"/>
      <x:c r="G5" s="90"/>
      <x:c r="H5" s="90"/>
      <x:c r="I5" s="90"/>
      <x:c r="J5" s="90"/>
    </x:row>
    <x:row r="6" ht="21" hidden="0" customHeight="1">
      <x:c r="A6" s="90"/>
      <x:c r="B6" s="90" t="str">
        <x:v>Offer price per share</x:v>
      </x:c>
      <x:c r="C6" s="220" t="n">
        <x:f aca="0">'Source Inputs'!$C$7*(1+C5)</x:f>
        <x:v>69.625</x:v>
      </x:c>
      <x:c r="D6" s="90"/>
      <x:c r="E6" s="90"/>
      <x:c r="F6" s="90"/>
      <x:c r="G6" s="90"/>
      <x:c r="H6" s="90"/>
      <x:c r="I6" s="90"/>
      <x:c r="J6" s="90"/>
    </x:row>
    <x:row r="7" ht="21" hidden="0" customHeight="1">
      <x:c r="A7" s="90"/>
      <x:c r="B7" s="90" t="str">
        <x:v>Equity purchase price</x:v>
      </x:c>
      <x:c r="C7" s="195" t="n">
        <x:f aca="0">C6*'Source Inputs'!$C$8</x:f>
        <x:v>2388.1375</x:v>
      </x:c>
      <x:c r="D7" s="90"/>
      <x:c r="E7" s="90"/>
      <x:c r="F7" s="90"/>
      <x:c r="G7" s="90"/>
      <x:c r="H7" s="90"/>
      <x:c r="I7" s="90"/>
      <x:c r="J7" s="90"/>
    </x:row>
    <x:row r="8" ht="21" hidden="0" customHeight="1">
      <x:c r="A8" s="90"/>
      <x:c r="B8" s="90" t="str">
        <x:v>Net cash acquired after reserves</x:v>
      </x:c>
      <x:c r="C8" s="195" t="n">
        <x:f aca="0">'Source Inputs'!$C$43</x:f>
        <x:v>425.97500000000014</x:v>
      </x:c>
      <x:c r="D8" s="90"/>
      <x:c r="E8" s="90"/>
      <x:c r="F8" s="90"/>
      <x:c r="G8" s="90"/>
      <x:c r="H8" s="90"/>
      <x:c r="I8" s="90"/>
      <x:c r="J8" s="90"/>
    </x:row>
    <x:row r="9" ht="21" hidden="0" customHeight="1">
      <x:c r="A9" s="90"/>
      <x:c r="B9" s="110" t="str">
        <x:v>Entry enterprise value</x:v>
      </x:c>
      <x:c r="C9" s="140" t="n">
        <x:f aca="0">C7-C8</x:f>
        <x:v>1962.1624999999997</x:v>
      </x:c>
      <x:c r="D9" s="90"/>
      <x:c r="E9" s="90"/>
      <x:c r="F9" s="90"/>
      <x:c r="G9" s="90"/>
      <x:c r="H9" s="90"/>
      <x:c r="I9" s="90"/>
      <x:c r="J9" s="90"/>
    </x:row>
    <x:row r="10" ht="21" hidden="0" customHeight="1">
      <x:c r="A10" s="90"/>
      <x:c r="B10" s="90" t="str">
        <x:v>Entry adjusted EBITDA</x:v>
      </x:c>
      <x:c r="C10" s="195" t="n">
        <x:f aca="0">'Assumptions'!$F$10*'Assumptions'!$F$12</x:f>
        <x:v>348.34770000000003</x:v>
      </x:c>
      <x:c r="D10" s="90"/>
      <x:c r="E10" s="90"/>
      <x:c r="F10" s="90"/>
      <x:c r="G10" s="90"/>
      <x:c r="H10" s="90"/>
      <x:c r="I10" s="90"/>
      <x:c r="J10" s="90"/>
    </x:row>
    <x:row r="11" ht="21" hidden="0" customHeight="1">
      <x:c r="A11" s="90"/>
      <x:c r="B11" s="110" t="str">
        <x:v>Entry EV / EBITDA</x:v>
      </x:c>
      <x:c r="C11" s="230" t="n">
        <x:f aca="0">IF(C10&gt;0,C9/C10,0)</x:f>
        <x:v>5.632770074267749</x:v>
      </x:c>
      <x:c r="D11" s="90"/>
      <x:c r="E11" s="90"/>
      <x:c r="F11" s="90"/>
      <x:c r="G11" s="90"/>
      <x:c r="H11" s="90"/>
      <x:c r="I11" s="90"/>
      <x:c r="J11" s="90"/>
    </x:row>
    <x:row r="12" ht="21" hidden="0" customHeight="1">
      <x:c r="A12" s="90"/>
      <x:c r="B12" s="90"/>
      <x:c r="C12" s="90"/>
      <x:c r="D12" s="90"/>
      <x:c r="E12" s="90"/>
      <x:c r="F12" s="90"/>
      <x:c r="G12" s="90"/>
      <x:c r="H12" s="90"/>
      <x:c r="I12" s="90"/>
      <x:c r="J12" s="90"/>
    </x:row>
    <x:row r="13" ht="21" hidden="0" customHeight="1">
      <x:c r="A13" s="110"/>
      <x:c r="B13" s="110"/>
      <x:c r="C13" s="110"/>
      <x:c r="D13" s="110"/>
      <x:c r="E13" s="110"/>
      <x:c r="F13" s="110"/>
      <x:c r="G13" s="110"/>
      <x:c r="H13" s="110"/>
      <x:c r="I13" s="110"/>
      <x:c r="J13" s="110"/>
    </x:row>
    <x:row r="14" ht="21" hidden="0" customHeight="1">
      <x:c r="A14" s="90"/>
      <x:c r="B14" s="90" t="str">
        <x:v>Leverage / EBITDA</x:v>
      </x:c>
      <x:c r="C14" s="231" t="n">
        <x:f>'Assumptions'!$C$40</x:f>
        <x:v>4.5</x:v>
      </x:c>
      <x:c r="D14" s="90"/>
      <x:c r="E14" s="124"/>
      <x:c r="F14" s="90"/>
      <x:c r="G14" s="90"/>
      <x:c r="H14" s="90"/>
      <x:c r="I14" s="90"/>
      <x:c r="J14" s="90"/>
    </x:row>
    <x:row r="15" ht="21" hidden="0" customHeight="1">
      <x:c r="A15" s="90"/>
      <x:c r="B15" s="90" t="str">
        <x:v>Acquisition debt</x:v>
      </x:c>
      <x:c r="C15" s="137" t="n">
        <x:f aca="0">C14*C10</x:f>
        <x:v>1567.5646500000003</x:v>
      </x:c>
      <x:c r="D15" s="90"/>
      <x:c r="E15" s="90"/>
      <x:c r="F15" s="90"/>
      <x:c r="G15" s="90"/>
      <x:c r="H15" s="90"/>
      <x:c r="I15" s="90"/>
      <x:c r="J15" s="90"/>
    </x:row>
    <x:row r="16" ht="21" hidden="0" customHeight="1">
      <x:c r="A16" s="90"/>
      <x:c r="B16" s="90" t="str">
        <x:v>Fees / enterprise value</x:v>
      </x:c>
      <x:c r="C16" s="212" t="n">
        <x:f>'Assumptions'!$C$41</x:f>
        <x:v>0.02</x:v>
      </x:c>
      <x:c r="D16" s="90"/>
      <x:c r="E16" s="90"/>
      <x:c r="F16" s="90"/>
      <x:c r="G16" s="90"/>
      <x:c r="H16" s="90"/>
      <x:c r="I16" s="90"/>
      <x:c r="J16" s="90"/>
    </x:row>
    <x:row r="17" ht="21" hidden="0" customHeight="1">
      <x:c r="A17" s="90"/>
      <x:c r="B17" s="90" t="str">
        <x:v>Sponsor equity required</x:v>
      </x:c>
      <x:c r="C17" s="137" t="n">
        <x:f aca="0">C9*(1+C16)-C15</x:f>
        <x:v>433.8410999999994</x:v>
      </x:c>
      <x:c r="D17" s="90"/>
      <x:c r="E17" s="90"/>
      <x:c r="F17" s="90"/>
      <x:c r="G17" s="90"/>
      <x:c r="H17" s="90"/>
      <x:c r="I17" s="90"/>
      <x:c r="J17" s="90"/>
    </x:row>
    <x:row r="18" ht="21" hidden="0" customHeight="1">
      <x:c r="A18" s="90"/>
      <x:c r="B18" s="110"/>
      <x:c r="C18" s="118"/>
      <x:c r="D18" s="90"/>
      <x:c r="E18" s="90"/>
      <x:c r="F18" s="90"/>
      <x:c r="G18" s="90"/>
      <x:c r="H18" s="90"/>
      <x:c r="I18" s="90"/>
      <x:c r="J18" s="90"/>
    </x:row>
    <x:row r="19" ht="21" hidden="0" customHeight="1">
      <x:c r="A19" s="90"/>
      <x:c r="B19" s="90"/>
      <x:c r="C19" s="90"/>
      <x:c r="D19" s="90"/>
      <x:c r="E19" s="90"/>
      <x:c r="F19" s="90"/>
      <x:c r="G19" s="90"/>
      <x:c r="H19" s="90"/>
      <x:c r="I19" s="90"/>
      <x:c r="J19" s="90"/>
    </x:row>
    <x:row r="20" ht="21" hidden="0" customHeight="1">
      <x:c r="A20" s="110"/>
      <x:c r="B20" s="110" t="str">
        <x:v>Fiscal period</x:v>
      </x:c>
      <x:c r="C20" s="181" t="str">
        <x:f>'Operating Forecast'!C5</x:f>
        <x:v>H2 FY2026E</x:v>
      </x:c>
      <x:c r="D20" s="181" t="str">
        <x:f>'Operating Forecast'!D5</x:f>
        <x:v>FY2027E</x:v>
      </x:c>
      <x:c r="E20" s="181" t="str">
        <x:f>'Operating Forecast'!E5</x:f>
        <x:v>FY2028E</x:v>
      </x:c>
      <x:c r="F20" s="181" t="str">
        <x:f>'Operating Forecast'!F5</x:f>
        <x:v>FY2029E</x:v>
      </x:c>
      <x:c r="G20" s="181" t="str">
        <x:f>'Operating Forecast'!G5</x:f>
        <x:v>FY2030E</x:v>
      </x:c>
      <x:c r="H20" s="110"/>
      <x:c r="I20" s="110"/>
      <x:c r="J20" s="110"/>
    </x:row>
    <x:row r="21" ht="21" hidden="0" customHeight="1">
      <x:c r="A21" s="90"/>
      <x:c r="B21" s="110" t="str">
        <x:v>Period after entry / years</x:v>
      </x:c>
      <x:c r="C21" s="214" t="n">
        <x:f>'DCF'!C15-0</x:f>
        <x:v>0.3232876712328767</x:v>
      </x:c>
      <x:c r="D21" s="214" t="n">
        <x:f>'DCF'!D15-'DCF'!C15</x:f>
        <x:v>1</x:v>
      </x:c>
      <x:c r="E21" s="214" t="n">
        <x:f>'DCF'!E15-'DCF'!D15</x:f>
        <x:v>1.0027397260273971</x:v>
      </x:c>
      <x:c r="F21" s="214" t="n">
        <x:f>'DCF'!F15-'DCF'!E15</x:f>
        <x:v>1</x:v>
      </x:c>
      <x:c r="G21" s="214" t="n">
        <x:f>'DCF'!G15-'DCF'!F15</x:f>
        <x:v>1.0000000000000004</x:v>
      </x:c>
      <x:c r="H21" s="90"/>
      <x:c r="I21" s="90"/>
      <x:c r="J21" s="90"/>
    </x:row>
    <x:row r="22" ht="21" hidden="0" customHeight="1">
      <x:c r="A22" s="90"/>
      <x:c r="B22" s="90" t="str">
        <x:v>Unlevered cash flow after entry</x:v>
      </x:c>
      <x:c r="C22" s="195" t="n">
        <x:f aca="0">'DCF'!C18</x:f>
        <x:v>51.049470248987504</x:v>
      </x:c>
      <x:c r="D22" s="195" t="n">
        <x:f aca="0">'DCF'!D18</x:f>
        <x:v>160.0394798399999</x:v>
      </x:c>
      <x:c r="E22" s="195" t="n">
        <x:f aca="0">'DCF'!E18</x:f>
        <x:v>162.93603328885484</x:v>
      </x:c>
      <x:c r="F22" s="195" t="n">
        <x:f aca="0">'DCF'!F18</x:f>
        <x:v>165.79296907353603</x:v>
      </x:c>
      <x:c r="G22" s="195" t="n">
        <x:f aca="0">'DCF'!G18</x:f>
        <x:v>159.82238222486967</x:v>
      </x:c>
      <x:c r="H22" s="90"/>
      <x:c r="I22" s="90"/>
      <x:c r="J22" s="90"/>
    </x:row>
    <x:row r="23" ht="21" hidden="0" customHeight="1">
      <x:c r="A23" s="90"/>
      <x:c r="B23" s="90" t="str">
        <x:v>Beginning debt</x:v>
      </x:c>
      <x:c r="C23" s="137" t="n">
        <x:f aca="0">$C$15</x:f>
        <x:v>1567.5646500000003</x:v>
      </x:c>
      <x:c r="D23" s="137" t="n">
        <x:f aca="0">C28</x:f>
        <x:v>1539.6240889803826</x:v>
      </x:c>
      <x:c r="E23" s="137" t="n">
        <x:f aca="0">D28</x:f>
        <x:v>1449.7914675978882</x:v>
      </x:c>
      <x:c r="F23" s="137" t="n">
        <x:f aca="0">E28</x:f>
        <x:v>1353.1470498641613</x:v>
      </x:c>
      <x:c r="G23" s="137" t="n">
        <x:f aca="0">F28</x:f>
        <x:v>1249.057586264431</x:v>
      </x:c>
      <x:c r="H23" s="90"/>
      <x:c r="I23" s="90"/>
      <x:c r="J23" s="90"/>
    </x:row>
    <x:row r="24" ht="21" hidden="0" customHeight="1">
      <x:c r="A24" s="90"/>
      <x:c r="B24" s="90" t="str">
        <x:v>Interest net of usable tax shield</x:v>
      </x:c>
      <x:c r="C24" s="195" t="n">
        <x:f aca="0">-C23*'Assumptions'!$F$22*C21+MIN(C23*'Assumptions'!$F$22*C21,MAX(0,'Operating Forecast'!C17*'DCF'!C17))*'Assumptions'!$F$17</x:f>
        <x:v>-23.108909229369864</x:v>
      </x:c>
      <x:c r="D24" s="195" t="n">
        <x:f aca="0">-D23*'Assumptions'!$F$22*D21+MIN(D23*'Assumptions'!$F$22*D21,MAX(0,'Operating Forecast'!D17*'DCF'!D17))*'Assumptions'!$F$17</x:f>
        <x:v>-70.20685845750545</x:v>
      </x:c>
      <x:c r="E24" s="195" t="n">
        <x:f aca="0">-E23*'Assumptions'!$F$22*E21+MIN(E23*'Assumptions'!$F$22*E21,MAX(0,'Operating Forecast'!E17*'DCF'!E17))*'Assumptions'!$F$17</x:f>
        <x:v>-66.29161555512798</x:v>
      </x:c>
      <x:c r="F24" s="195" t="n">
        <x:f aca="0">-F23*'Assumptions'!$F$22*F21+MIN(F23*'Assumptions'!$F$22*F21,MAX(0,'Operating Forecast'!F17*'DCF'!F17))*'Assumptions'!$F$17</x:f>
        <x:v>-61.703505473805755</x:v>
      </x:c>
      <x:c r="G24" s="195" t="n">
        <x:f aca="0">-G23*'Assumptions'!$F$22*G21+MIN(G23*'Assumptions'!$F$22*G21,MAX(0,'Operating Forecast'!G17*'DCF'!G17))*'Assumptions'!$F$17</x:f>
        <x:v>-56.95702593365807</x:v>
      </x:c>
      <x:c r="H24" s="90"/>
      <x:c r="I24" s="90"/>
      <x:c r="J24" s="90"/>
    </x:row>
    <x:row r="25" ht="21" hidden="0" customHeight="1">
      <x:c r="A25" s="90"/>
      <x:c r="B25" s="90" t="str">
        <x:v>Cash available for repayment</x:v>
      </x:c>
      <x:c r="C25" s="137" t="n">
        <x:f aca="0">C22+C24</x:f>
        <x:v>27.94056101961764</x:v>
      </x:c>
      <x:c r="D25" s="137" t="n">
        <x:f aca="0">D22+D24</x:f>
        <x:v>89.83262138249445</x:v>
      </x:c>
      <x:c r="E25" s="137" t="n">
        <x:f aca="0">E22+E24</x:f>
        <x:v>96.64441773372687</x:v>
      </x:c>
      <x:c r="F25" s="137" t="n">
        <x:f aca="0">F22+F24</x:f>
        <x:v>104.08946359973027</x:v>
      </x:c>
      <x:c r="G25" s="137" t="n">
        <x:f aca="0">G22+G24</x:f>
        <x:v>102.8653562912116</x:v>
      </x:c>
      <x:c r="H25" s="90"/>
      <x:c r="I25" s="90"/>
      <x:c r="J25" s="90"/>
    </x:row>
    <x:row r="26" ht="21" hidden="0" customHeight="1">
      <x:c r="A26" s="90"/>
      <x:c r="B26" s="110" t="str">
        <x:v>Debt repayment</x:v>
      </x:c>
      <x:c r="C26" s="140" t="n">
        <x:f aca="0">MIN(C23,MAX(0,C25))</x:f>
        <x:v>27.94056101961764</x:v>
      </x:c>
      <x:c r="D26" s="140" t="n">
        <x:f aca="0">MIN(D23,MAX(0,D25))</x:f>
        <x:v>89.83262138249445</x:v>
      </x:c>
      <x:c r="E26" s="140" t="n">
        <x:f aca="0">MIN(E23,MAX(0,E25))</x:f>
        <x:v>96.64441773372687</x:v>
      </x:c>
      <x:c r="F26" s="140" t="n">
        <x:f aca="0">MIN(F23,MAX(0,F25))</x:f>
        <x:v>104.08946359973027</x:v>
      </x:c>
      <x:c r="G26" s="140" t="n">
        <x:f aca="0">MIN(G23,MAX(0,G25))</x:f>
        <x:v>102.8653562912116</x:v>
      </x:c>
      <x:c r="H26" s="90"/>
      <x:c r="I26" s="90"/>
      <x:c r="J26" s="90"/>
    </x:row>
    <x:row r="27" ht="21" hidden="0" customHeight="1">
      <x:c r="A27" s="90"/>
      <x:c r="B27" s="90" t="str">
        <x:v>Additional financing required</x:v>
      </x:c>
      <x:c r="C27" s="100" t="n">
        <x:f>MAX(0,-C25)</x:f>
        <x:v>0</x:v>
      </x:c>
      <x:c r="D27" s="100" t="n">
        <x:f>MAX(0,-D25)</x:f>
        <x:v>0</x:v>
      </x:c>
      <x:c r="E27" s="100" t="n">
        <x:f>MAX(0,-E25)</x:f>
        <x:v>0</x:v>
      </x:c>
      <x:c r="F27" s="100" t="n">
        <x:f>MAX(0,-F25)</x:f>
        <x:v>0</x:v>
      </x:c>
      <x:c r="G27" s="100" t="n">
        <x:f>MAX(0,-G25)</x:f>
        <x:v>0</x:v>
      </x:c>
      <x:c r="H27" s="90"/>
      <x:c r="I27" s="90"/>
      <x:c r="J27" s="90"/>
    </x:row>
    <x:row r="28" ht="21" hidden="0" customHeight="1">
      <x:c r="A28" s="110"/>
      <x:c r="B28" s="110" t="str">
        <x:v>Ending debt</x:v>
      </x:c>
      <x:c r="C28" s="197" t="n">
        <x:f>C23-C26+C27</x:f>
        <x:v>1539.6240889803826</x:v>
      </x:c>
      <x:c r="D28" s="197" t="n">
        <x:f>D23-D26+D27</x:f>
        <x:v>1449.7914675978882</x:v>
      </x:c>
      <x:c r="E28" s="197" t="n">
        <x:f>E23-E26+E27</x:f>
        <x:v>1353.1470498641613</x:v>
      </x:c>
      <x:c r="F28" s="197" t="n">
        <x:f>F23-F26+F27</x:f>
        <x:v>1249.057586264431</x:v>
      </x:c>
      <x:c r="G28" s="197" t="n">
        <x:f>G23-G26+G27</x:f>
        <x:v>1146.1922299732194</x:v>
      </x:c>
      <x:c r="H28" s="110"/>
      <x:c r="I28" s="110"/>
      <x:c r="J28" s="110"/>
    </x:row>
    <x:row r="29" ht="21" hidden="0" customHeight="1">
      <x:c r="A29" s="90"/>
      <x:c r="B29" s="90" t="str">
        <x:v>Excess cash retained</x:v>
      </x:c>
      <x:c r="C29" s="137" t="n">
        <x:f>MAX(0,C25-C26)</x:f>
        <x:v>0</x:v>
      </x:c>
      <x:c r="D29" s="100" t="n">
        <x:f>MAX(0,D25-D26)</x:f>
        <x:v>0</x:v>
      </x:c>
      <x:c r="E29" s="232" t="n">
        <x:f>MAX(0,E25-E26)</x:f>
        <x:v>0</x:v>
      </x:c>
      <x:c r="F29" s="100" t="n">
        <x:f>MAX(0,F25-F26)</x:f>
        <x:v>0</x:v>
      </x:c>
      <x:c r="G29" s="100" t="n">
        <x:f>MAX(0,G25-G26)</x:f>
        <x:v>0</x:v>
      </x:c>
      <x:c r="H29" s="90"/>
      <x:c r="I29" s="90"/>
      <x:c r="J29" s="90"/>
    </x:row>
    <x:row r="30" ht="21" hidden="0" customHeight="1">
      <x:c r="A30" s="90"/>
      <x:c r="B30" s="90" t="str">
        <x:v>Cumulative retained cash</x:v>
      </x:c>
      <x:c r="C30" s="137" t="n">
        <x:f aca="0">C29+0</x:f>
        <x:v>0</x:v>
      </x:c>
      <x:c r="D30" s="100" t="n">
        <x:f>D29+C30</x:f>
        <x:v>0</x:v>
      </x:c>
      <x:c r="E30" s="100" t="n">
        <x:f>E29+D30</x:f>
        <x:v>0</x:v>
      </x:c>
      <x:c r="F30" s="100" t="n">
        <x:f>F29+E30</x:f>
        <x:v>0</x:v>
      </x:c>
      <x:c r="G30" s="100" t="n">
        <x:f>G29+F30</x:f>
        <x:v>0</x:v>
      </x:c>
      <x:c r="H30" s="90"/>
      <x:c r="I30" s="90"/>
      <x:c r="J30" s="90"/>
    </x:row>
    <x:row r="31" ht="21" hidden="0" customHeight="1">
      <x:c r="A31" s="90"/>
      <x:c r="B31" s="90" t="str">
        <x:v>Interest coverage</x:v>
      </x:c>
      <x:c r="C31" s="231" t="n">
        <x:f aca="0">IF(C23*'Assumptions'!$F$22*C21&gt;0,('Operating Forecast'!C14*'DCF'!C17)/(C23*'Assumptions'!$F$22*C21),999)</x:f>
        <x:v>3.7208978521629676</x:v>
      </x:c>
      <x:c r="D31" s="217" t="n">
        <x:f>IF(D23*'Assumptions'!$F$22*D21&gt;0,('Operating Forecast'!D14*'DCF'!D17)/(D23*'Assumptions'!$F$22*D21),999)</x:f>
        <x:v>3.189964313465986</x:v>
      </x:c>
      <x:c r="E31" s="217" t="n">
        <x:f>IF(E23*'Assumptions'!$F$22*E21&gt;0,('Operating Forecast'!E14*'DCF'!E17)/(E23*'Assumptions'!$F$22*E21),999)</x:f>
        <x:v>3.445933827194672</x:v>
      </x:c>
      <x:c r="F31" s="217" t="n">
        <x:f>IF(F23*'Assumptions'!$F$22*F21&gt;0,('Operating Forecast'!F14*'DCF'!F17)/(F23*'Assumptions'!$F$22*F21),999)</x:f>
        <x:v>3.7762076744526443</x:v>
      </x:c>
      <x:c r="G31" s="217" t="n">
        <x:f>IF(G23*'Assumptions'!$F$22*G21&gt;0,('Operating Forecast'!G14*'DCF'!G17)/(G23*'Assumptions'!$F$22*G21),999)</x:f>
        <x:v>4.172713585956161</x:v>
      </x:c>
      <x:c r="H31" s="90"/>
      <x:c r="I31" s="90"/>
      <x:c r="J31" s="90"/>
    </x:row>
    <x:row r="32" ht="21" hidden="0" customHeight="1">
      <x:c r="A32" s="90"/>
      <x:c r="B32" s="110"/>
      <x:c r="C32" s="118"/>
      <x:c r="D32" s="90"/>
      <x:c r="E32" s="90"/>
      <x:c r="F32" s="90"/>
      <x:c r="G32" s="90"/>
      <x:c r="H32" s="90"/>
      <x:c r="I32" s="90"/>
      <x:c r="J32" s="90"/>
    </x:row>
    <x:row r="33" ht="21" hidden="0" customHeight="1">
      <x:c r="A33" s="90"/>
      <x:c r="B33" s="110"/>
      <x:c r="C33" s="229"/>
      <x:c r="D33" s="90"/>
      <x:c r="E33" s="90"/>
      <x:c r="F33" s="90"/>
      <x:c r="G33" s="90"/>
      <x:c r="H33" s="90"/>
      <x:c r="I33" s="90"/>
      <x:c r="J33" s="90"/>
    </x:row>
    <x:row r="34" ht="21" hidden="0" customHeight="1">
      <x:c r="A34" s="90"/>
      <x:c r="B34" s="110" t="str">
        <x:v>Exit adjusted EBITDA</x:v>
      </x:c>
      <x:c r="C34" s="192" t="n">
        <x:f aca="0">'Operating Forecast'!G11</x:f>
        <x:v>377.0627533420321</x:v>
      </x:c>
      <x:c r="D34" s="90"/>
      <x:c r="E34" s="90"/>
      <x:c r="F34" s="90"/>
      <x:c r="G34" s="90"/>
      <x:c r="H34" s="90"/>
      <x:c r="I34" s="90"/>
      <x:c r="J34" s="90"/>
    </x:row>
    <x:row r="35" ht="21" hidden="0" customHeight="1">
      <x:c r="A35" s="90"/>
      <x:c r="B35" s="90" t="str">
        <x:v>Exit multiple</x:v>
      </x:c>
      <x:c r="C35" s="217" t="n">
        <x:f>'Assumptions'!$C$32</x:f>
        <x:v>6</x:v>
      </x:c>
      <x:c r="D35" s="90"/>
      <x:c r="E35" s="90"/>
      <x:c r="F35" s="90"/>
      <x:c r="G35" s="90"/>
      <x:c r="H35" s="90"/>
      <x:c r="I35" s="90"/>
      <x:c r="J35" s="90"/>
    </x:row>
    <x:row r="36" ht="21" hidden="0" customHeight="1">
      <x:c r="A36" s="110"/>
      <x:c r="B36" s="110" t="str">
        <x:v>Exit enterprise value</x:v>
      </x:c>
      <x:c r="C36" s="197" t="n">
        <x:f>C34*C35</x:f>
        <x:v>2262.376520052193</x:v>
      </x:c>
      <x:c r="D36" s="110"/>
      <x:c r="E36" s="110"/>
      <x:c r="F36" s="110"/>
      <x:c r="G36" s="110"/>
      <x:c r="H36" s="110"/>
      <x:c r="I36" s="110"/>
      <x:c r="J36" s="110"/>
    </x:row>
    <x:row r="37" ht="21" hidden="0" customHeight="1">
      <x:c r="A37" s="90"/>
      <x:c r="B37" s="90" t="str">
        <x:v>Exit equity proceeds</x:v>
      </x:c>
      <x:c r="C37" s="137" t="n">
        <x:f>C36-G28+G30</x:f>
        <x:v>1116.1842900789736</x:v>
      </x:c>
      <x:c r="D37" s="90"/>
      <x:c r="E37" s="90"/>
      <x:c r="F37" s="90"/>
      <x:c r="G37" s="90"/>
      <x:c r="H37" s="90"/>
      <x:c r="I37" s="90"/>
      <x:c r="J37" s="90"/>
    </x:row>
    <x:row r="38" ht="21" hidden="0" customHeight="1">
      <x:c r="A38" s="90"/>
      <x:c r="B38" s="90" t="str">
        <x:v>Hold period / years</x:v>
      </x:c>
      <x:c r="C38" s="233" t="n">
        <x:f aca="0">'DCF'!G15</x:f>
        <x:v>4.326027397260274</x:v>
      </x:c>
      <x:c r="D38" s="90"/>
      <x:c r="E38" s="90"/>
      <x:c r="F38" s="90"/>
      <x:c r="G38" s="90"/>
      <x:c r="H38" s="90"/>
      <x:c r="I38" s="90"/>
      <x:c r="J38" s="90"/>
    </x:row>
    <x:row r="39" ht="21" hidden="0" customHeight="1">
      <x:c r="A39" s="90"/>
      <x:c r="B39" s="90" t="str">
        <x:v>Money multiple</x:v>
      </x:c>
      <x:c r="C39" s="158" t="n">
        <x:f aca="0">IF(C17&gt;0,MAX(0,C37)/C17,0)</x:f>
        <x:v>2.5727951779556504</x:v>
      </x:c>
      <x:c r="D39" s="90"/>
      <x:c r="E39" s="90"/>
      <x:c r="F39" s="90"/>
      <x:c r="G39" s="90"/>
      <x:c r="H39" s="90"/>
      <x:c r="I39" s="90"/>
      <x:c r="J39" s="90"/>
    </x:row>
    <x:row r="40" ht="21" hidden="0" customHeight="1">
      <x:c r="A40" s="90"/>
      <x:c r="B40" s="110" t="str">
        <x:v>Annualized return</x:v>
      </x:c>
      <x:c r="C40" s="144" t="n">
        <x:f aca="0">IF(AND(C17&gt;0,C38&gt;0),(MAX(0,C37)/C17)^(1/C38)-1,0)</x:f>
        <x:v>0.24413882433952394</x:v>
      </x:c>
      <x:c r="D40" s="90"/>
      <x:c r="E40" s="124"/>
      <x:c r="F40" s="90"/>
      <x:c r="G40" s="90"/>
      <x:c r="H40" s="90"/>
      <x:c r="I40" s="90"/>
      <x:c r="J40" s="90"/>
    </x:row>
    <x:row r="41" ht="21" hidden="0" customHeight="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</x:row>
    <x:row r="42" ht="21" hidden="0" customHeight="1">
      <x:c r="A42" s="90"/>
      <x:c r="B42" s="124"/>
      <x:c r="C42" s="90"/>
      <x:c r="D42" s="90"/>
      <x:c r="E42" s="90"/>
      <x:c r="F42" s="90"/>
      <x:c r="G42" s="90"/>
      <x:c r="H42" s="90"/>
      <x:c r="I42" s="90"/>
      <x:c r="J42" s="90"/>
    </x:row>
    <x:row r="43" ht="21" hidden="0" customHeight="1">
      <x:c r="A43" s="90"/>
      <x:c r="B43" s="90" t="str">
        <x:v>Required annual return</x:v>
      </x:c>
      <x:c r="C43" s="234" t="n">
        <x:f>'Assumptions'!$C$42</x:f>
        <x:v>0.2</x:v>
      </x:c>
      <x:c r="D43" s="90"/>
      <x:c r="E43" s="90"/>
      <x:c r="F43" s="90"/>
      <x:c r="G43" s="90"/>
      <x:c r="H43" s="90"/>
      <x:c r="I43" s="90"/>
      <x:c r="J43" s="90"/>
    </x:row>
    <x:row r="44" ht="21" hidden="0" customHeight="1">
      <x:c r="A44" s="90"/>
      <x:c r="B44" s="90" t="str">
        <x:v>Maximum sponsor equity at hurdle</x:v>
      </x:c>
      <x:c r="C44" s="100" t="n">
        <x:f>MAX(0,C37)/(1+C43)^C38</x:f>
        <x:v>507.2191780320861</x:v>
      </x:c>
      <x:c r="D44" s="90"/>
      <x:c r="E44" s="90"/>
      <x:c r="F44" s="90"/>
      <x:c r="G44" s="90"/>
      <x:c r="H44" s="90"/>
      <x:c r="I44" s="90"/>
      <x:c r="J44" s="90"/>
    </x:row>
    <x:row r="45" ht="21" hidden="0" customHeight="1">
      <x:c r="A45" s="90"/>
      <x:c r="B45" s="90" t="str">
        <x:v>Maximum entry enterprise value</x:v>
      </x:c>
      <x:c r="C45" s="100" t="n">
        <x:f>(C44+C15)/(1+C16)</x:f>
        <x:v>2034.1017921883201</x:v>
      </x:c>
      <x:c r="D45" s="90"/>
      <x:c r="E45" s="90"/>
      <x:c r="F45" s="90"/>
      <x:c r="G45" s="90"/>
      <x:c r="H45" s="90"/>
      <x:c r="I45" s="90"/>
      <x:c r="J45" s="90"/>
    </x:row>
    <x:row r="46" ht="21" hidden="0" customHeight="1">
      <x:c r="A46" s="90"/>
      <x:c r="B46" s="90" t="str">
        <x:v>Maximum offer / share</x:v>
      </x:c>
      <x:c r="C46" s="235" t="n">
        <x:f>IF('Source Inputs'!$C$8&gt;0,(C45+C8)/'Source Inputs'!$C$8,0)</x:f>
        <x:v>71.72235545738543</x:v>
      </x:c>
      <x:c r="D46" s="90"/>
      <x:c r="E46" s="90"/>
      <x:c r="F46" s="90"/>
      <x:c r="G46" s="90"/>
      <x:c r="H46" s="90"/>
      <x:c r="I46" s="90"/>
      <x:c r="J46" s="90"/>
    </x:row>
    <x:row r="47" ht="21" hidden="0" customHeight="1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</x:row>
    <x:row r="48" ht="21" hidden="0" customHeight="1">
      <x:c r="A48" s="90"/>
      <x:c r="B48" s="90" t="str">
        <x:v>Total additional financing needed</x:v>
      </x:c>
      <x:c r="C48" s="100" t="n">
        <x:f>SUM(C27:G27)</x:f>
        <x:v>0</x:v>
      </x:c>
      <x:c r="D48" s="90"/>
      <x:c r="E48" s="90"/>
      <x:c r="F48" s="90"/>
      <x:c r="G48" s="90"/>
      <x:c r="H48" s="90"/>
      <x:c r="I48" s="90"/>
      <x:c r="J48" s="90"/>
    </x:row>
    <x:row r="49" ht="21" hidden="0" customHeight="1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</x:row>
    <x:row r="50" ht="21" hidden="0" customHeight="1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</x:row>
    <x:row r="51" ht="21" hidden="0" customHeight="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</x:row>
    <x:row r="52" ht="21" hidden="0" customHeight="1">
      <x:c r="A52" s="90"/>
      <x:c r="B52" s="106" t="str">
        <x:v>The ceiling includes transaction fees at the solved price and uses the actual remaining holding period. Cash first repays debt; residual cash is included at exit. Additional financing needs are shown explicitly.</x:v>
      </x:c>
      <x:c r="C52" s="106"/>
      <x:c r="D52" s="106"/>
      <x:c r="E52" s="106"/>
      <x:c r="F52" s="106"/>
      <x:c r="G52" s="106"/>
      <x:c r="H52" s="106"/>
      <x:c r="I52" s="106"/>
      <x:c r="J52" s="106"/>
    </x:row>
    <x:row r="53" ht="21" hidden="0" customHeight="1">
      <x:c r="A53" s="90"/>
      <x:c r="B53" s="106"/>
      <x:c r="C53" s="106"/>
      <x:c r="D53" s="106"/>
      <x:c r="E53" s="106"/>
      <x:c r="F53" s="106"/>
      <x:c r="G53" s="106"/>
      <x:c r="H53" s="106"/>
      <x:c r="I53" s="106"/>
      <x:c r="J53" s="106"/>
    </x:row>
    <x:row r="54" ht="21" hidden="0" customHeight="1">
      <x:c r="A54" s="90"/>
      <x:c r="B54" s="106"/>
      <x:c r="C54" s="106"/>
      <x:c r="D54" s="106"/>
      <x:c r="E54" s="106"/>
      <x:c r="F54" s="106"/>
      <x:c r="G54" s="106"/>
      <x:c r="H54" s="106"/>
      <x:c r="I54" s="106"/>
      <x:c r="J54" s="106"/>
    </x:row>
    <x:row r="55" ht="21" hidden="0" customHeight="1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</x:row>
    <x:row r="56" ht="21" hidden="0" customHeight="1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</x:row>
    <x:row r="57" ht="21" hidden="0" customHeight="1">
      <x:c r="A57" s="90"/>
      <x:c r="B57" s="106" t="str">
        <x:v>Test revenue decline and margin compression before setting a price ceiling. Debt is sized on adjusted EBITDA; interest coverage uses earnings after SBC and recurring transaction costs.</x:v>
      </x:c>
      <x:c r="C57" s="106"/>
      <x:c r="D57" s="106"/>
      <x:c r="E57" s="106"/>
      <x:c r="F57" s="106"/>
      <x:c r="G57" s="106"/>
      <x:c r="H57" s="106"/>
      <x:c r="I57" s="106"/>
      <x:c r="J57" s="106"/>
    </x:row>
    <x:row r="58" ht="21" hidden="0" customHeight="1">
      <x:c r="A58" s="90"/>
      <x:c r="B58" s="106"/>
      <x:c r="C58" s="106"/>
      <x:c r="D58" s="106"/>
      <x:c r="E58" s="106"/>
      <x:c r="F58" s="106"/>
      <x:c r="G58" s="106"/>
      <x:c r="H58" s="106"/>
      <x:c r="I58" s="106"/>
      <x:c r="J58" s="106"/>
    </x:row>
    <x:row r="59" ht="21" hidden="0" customHeight="1">
      <x:c r="A59" s="90"/>
      <x:c r="B59" s="106"/>
      <x:c r="C59" s="106"/>
      <x:c r="D59" s="106"/>
      <x:c r="E59" s="106"/>
      <x:c r="F59" s="106"/>
      <x:c r="G59" s="106"/>
      <x:c r="H59" s="106"/>
      <x:c r="I59" s="106"/>
      <x:c r="J59" s="106"/>
    </x:row>
    <x:row r="60" ht="21" hidden="0" customHeight="1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</x:row>
    <x:row r="61" ht="21" hidden="0" customHeight="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</x:row>
    <x:row r="62" ht="21" hidden="0" customHeight="1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</x:row>
    <x:row r="63" ht="21" hidden="0" customHeight="1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</x:row>
    <x:row r="64" ht="21" hidden="0" customHeight="1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</x:row>
    <x:row r="65" ht="21" hidden="0" customHeight="1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</x:row>
    <x:row r="66" ht="21" hidden="0" customHeight="1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</x:row>
    <x:row r="67" ht="21" hidden="0" customHeight="1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</x:row>
    <x:row r="68" ht="21" hidden="0" customHeight="1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</x:row>
    <x:row r="69" ht="21" hidden="0" customHeight="1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</x:row>
    <x:row r="70" ht="21" hidden="0" customHeight="1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</x:row>
    <x:row r="71" ht="21" hidden="0" customHeight="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</x:row>
    <x:row r="72" ht="21" hidden="0" customHeight="1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</x:row>
    <x:row r="73" ht="21" hidden="0" customHeight="1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</x:row>
    <x:row r="74" ht="21" hidden="0" customHeight="1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</x:row>
    <x:row r="75" ht="15" hidden="0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J1"/>
    <x:mergeCell ref="A2:J3"/>
    <x:mergeCell ref="B52:J54"/>
    <x:mergeCell ref="B57:J59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6" hidden="0" customWidth="1"/>
    <x:col min="3" max="7" width="1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2" hidden="0" customHeight="1">
      <x:c r="A1" s="133" t="str">
        <x:v>SENSITIVITIES | WHAT CHANGES VALUE</x:v>
      </x:c>
      <x:c r="B1" s="133"/>
      <x:c r="C1" s="133"/>
      <x:c r="D1" s="133"/>
      <x:c r="E1" s="133"/>
      <x:c r="F1" s="133"/>
      <x:c r="G1" s="133"/>
      <x:c r="H1" s="133"/>
      <x:c r="I1" s="133"/>
      <x:c r="J1" s="133"/>
      <x:c r="K1" s="2"/>
      <x:c r="L1" s="2"/>
    </x:row>
    <x:row r="2" ht="21" hidden="0" customHeight="1">
      <x:c r="A2" s="135" t="str">
        <x:v>Each cell recalculates cash flow and the capital bridge.</x:v>
      </x:c>
      <x:c r="B2" s="135"/>
      <x:c r="C2" s="135"/>
      <x:c r="D2" s="135"/>
      <x:c r="E2" s="135"/>
      <x:c r="F2" s="135"/>
      <x:c r="G2" s="135"/>
      <x:c r="H2" s="135"/>
      <x:c r="I2" s="135"/>
      <x:c r="J2" s="135"/>
      <x:c r="K2" s="2"/>
      <x:c r="L2" s="2"/>
    </x:row>
    <x:row r="3" ht="21" hidden="0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  <x:c r="K3" s="2"/>
      <x:c r="L3" s="2"/>
    </x:row>
    <x:row r="4" ht="25" hidden="0" customHeight="1">
      <x:c r="A4" s="110"/>
      <x:c r="B4" s="105" t="str">
        <x:v>Value per share: WACC × terminal growth</x:v>
      </x:c>
      <x:c r="C4" s="105"/>
      <x:c r="D4" s="105"/>
      <x:c r="E4" s="105"/>
      <x:c r="F4" s="105"/>
      <x:c r="G4" s="105"/>
      <x:c r="H4" s="105"/>
      <x:c r="I4" s="105"/>
      <x:c r="J4" s="105"/>
      <x:c r="K4" s="2"/>
      <x:c r="L4" s="2"/>
    </x:row>
    <x:row r="5" ht="21" hidden="0" customHeight="1">
      <x:c r="A5" s="90"/>
      <x:c r="B5" s="113"/>
      <x:c r="C5" s="249" t="n">
        <x:f>'Assumptions'!$C$31+-0.01</x:f>
        <x:v>0.01</x:v>
      </x:c>
      <x:c r="D5" s="249" t="n">
        <x:f>'Assumptions'!$C$31+-0.005</x:f>
        <x:v>0.015</x:v>
      </x:c>
      <x:c r="E5" s="249" t="n">
        <x:f>'Assumptions'!$C$31+0</x:f>
        <x:v>0.02</x:v>
      </x:c>
      <x:c r="F5" s="249" t="n">
        <x:f>'Assumptions'!$C$31+0.005</x:f>
        <x:v>0.025</x:v>
      </x:c>
      <x:c r="G5" s="249" t="n">
        <x:f>'Assumptions'!$C$31+0.01</x:f>
        <x:v>0.03</x:v>
      </x:c>
      <x:c r="H5" s="90"/>
      <x:c r="I5" s="90"/>
      <x:c r="J5" s="90"/>
      <x:c r="K5" s="2"/>
      <x:c r="L5" s="2"/>
    </x:row>
    <x:row r="6" ht="21" hidden="0" customHeight="1">
      <x:c r="A6" s="90"/>
      <x:c r="B6" s="249" t="n">
        <x:f>'DCF'!C10+-0.02</x:f>
        <x:v>0.07150656503898381</x:v>
      </x:c>
      <x:c r="C6" s="220" t="n">
        <x:f aca="0">IF(AND('Source Inputs'!$C$8&gt;0,$B6&gt;C$5),('DCF'!C18/(1+$B6)^'DCF'!C16+'DCF'!D18/(1+$B6)^'DCF'!D16+'DCF'!E18/(1+$B6)^'DCF'!E16+'DCF'!F18/(1+$B6)^'DCF'!F16+'DCF'!G18/(1+$B6)^'DCF'!G16+(('Operating Forecast'!G9*(1+C$5)*('Assumptions'!$F$12-'Assumptions'!$F$13-'Assumptions'!$F$14-'Assumptions'!$F$15)-MAX(0,'Operating Forecast'!G9*(1+C$5)*('Assumptions'!$F$12-'Assumptions'!$F$13-'Assumptions'!$F$14-'Assumptions'!$F$15))*'Assumptions'!$F$17+'Operating Forecast'!G9*(1+C$5)*('Assumptions'!$F$15-'Assumptions'!$F$16)-('Assumptions'!$F$18-'Assumptions'!$F$19)*'Operating Forecast'!G9*C$5)/($B6-C$5))/(1+$B6)^'DCF'!G15+'Source Inputs'!$C$43+'Source Inputs'!$C$15)/'Source Inputs'!$C$8,"INVALID")</x:f>
        <x:v>83.21867760627315</x:v>
      </x:c>
      <x:c r="D6" s="220" t="n">
        <x:f aca="0">IF(AND('Source Inputs'!$C$8&gt;0,$B6&gt;D$5),('DCF'!C18/(1+$B6)^'DCF'!C16+'DCF'!D18/(1+$B6)^'DCF'!D16+'DCF'!E18/(1+$B6)^'DCF'!E16+'DCF'!F18/(1+$B6)^'DCF'!F16+'DCF'!G18/(1+$B6)^'DCF'!G16+(('Operating Forecast'!G9*(1+D$5)*('Assumptions'!$F$12-'Assumptions'!$F$13-'Assumptions'!$F$14-'Assumptions'!$F$15)-MAX(0,'Operating Forecast'!G9*(1+D$5)*('Assumptions'!$F$12-'Assumptions'!$F$13-'Assumptions'!$F$14-'Assumptions'!$F$15))*'Assumptions'!$F$17+'Operating Forecast'!G9*(1+D$5)*('Assumptions'!$F$15-'Assumptions'!$F$16)-('Assumptions'!$F$18-'Assumptions'!$F$19)*'Operating Forecast'!G9*D$5)/($B6-D$5))/(1+$B6)^'DCF'!G15+'Source Inputs'!$C$43+'Source Inputs'!$C$15)/'Source Inputs'!$C$8,"INVALID")</x:f>
        <x:v>88.47887494482484</x:v>
      </x:c>
      <x:c r="E6" s="220" t="n">
        <x:f aca="0">IF(AND('Source Inputs'!$C$8&gt;0,$B6&gt;E$5),('DCF'!C18/(1+$B6)^'DCF'!C16+'DCF'!D18/(1+$B6)^'DCF'!D16+'DCF'!E18/(1+$B6)^'DCF'!E16+'DCF'!F18/(1+$B6)^'DCF'!F16+'DCF'!G18/(1+$B6)^'DCF'!G16+(('Operating Forecast'!G9*(1+E$5)*('Assumptions'!$F$12-'Assumptions'!$F$13-'Assumptions'!$F$14-'Assumptions'!$F$15)-MAX(0,'Operating Forecast'!G9*(1+E$5)*('Assumptions'!$F$12-'Assumptions'!$F$13-'Assumptions'!$F$14-'Assumptions'!$F$15))*'Assumptions'!$F$17+'Operating Forecast'!G9*(1+E$5)*('Assumptions'!$F$15-'Assumptions'!$F$16)-('Assumptions'!$F$18-'Assumptions'!$F$19)*'Operating Forecast'!G9*E$5)/($B6-E$5))/(1+$B6)^'DCF'!G15+'Source Inputs'!$C$43+'Source Inputs'!$C$15)/'Source Inputs'!$C$8,"INVALID")</x:f>
        <x:v>94.76033963727026</x:v>
      </x:c>
      <x:c r="F6" s="220" t="n">
        <x:f aca="0">IF(AND('Source Inputs'!$C$8&gt;0,$B6&gt;F$5),('DCF'!C18/(1+$B6)^'DCF'!C16+'DCF'!D18/(1+$B6)^'DCF'!D16+'DCF'!E18/(1+$B6)^'DCF'!E16+'DCF'!F18/(1+$B6)^'DCF'!F16+'DCF'!G18/(1+$B6)^'DCF'!G16+(('Operating Forecast'!G9*(1+F$5)*('Assumptions'!$F$12-'Assumptions'!$F$13-'Assumptions'!$F$14-'Assumptions'!$F$15)-MAX(0,'Operating Forecast'!G9*(1+F$5)*('Assumptions'!$F$12-'Assumptions'!$F$13-'Assumptions'!$F$14-'Assumptions'!$F$15))*'Assumptions'!$F$17+'Operating Forecast'!G9*(1+F$5)*('Assumptions'!$F$15-'Assumptions'!$F$16)-('Assumptions'!$F$18-'Assumptions'!$F$19)*'Operating Forecast'!G9*F$5)/($B6-F$5))/(1+$B6)^'DCF'!G15+'Source Inputs'!$C$43+'Source Inputs'!$C$15)/'Source Inputs'!$C$8,"INVALID")</x:f>
        <x:v>102.39246626038718</x:v>
      </x:c>
      <x:c r="G6" s="220" t="n">
        <x:f aca="0">IF(AND('Source Inputs'!$C$8&gt;0,$B6&gt;G$5),('DCF'!C18/(1+$B6)^'DCF'!C16+'DCF'!D18/(1+$B6)^'DCF'!D16+'DCF'!E18/(1+$B6)^'DCF'!E16+'DCF'!F18/(1+$B6)^'DCF'!F16+'DCF'!G18/(1+$B6)^'DCF'!G16+(('Operating Forecast'!G9*(1+G$5)*('Assumptions'!$F$12-'Assumptions'!$F$13-'Assumptions'!$F$14-'Assumptions'!$F$15)-MAX(0,'Operating Forecast'!G9*(1+G$5)*('Assumptions'!$F$12-'Assumptions'!$F$13-'Assumptions'!$F$14-'Assumptions'!$F$15))*'Assumptions'!$F$17+'Operating Forecast'!G9*(1+G$5)*('Assumptions'!$F$15-'Assumptions'!$F$16)-('Assumptions'!$F$18-'Assumptions'!$F$19)*'Operating Forecast'!G9*G$5)/($B6-G$5))/(1+$B6)^'DCF'!G15+'Source Inputs'!$C$43+'Source Inputs'!$C$15)/'Source Inputs'!$C$8,"INVALID")</x:f>
        <x:v>111.86336865691456</x:v>
      </x:c>
      <x:c r="H6" s="90"/>
      <x:c r="I6" s="90"/>
      <x:c r="J6" s="90"/>
      <x:c r="K6" s="2"/>
      <x:c r="L6" s="2"/>
    </x:row>
    <x:row r="7" ht="21" hidden="0" customHeight="1">
      <x:c r="A7" s="90"/>
      <x:c r="B7" s="249" t="n">
        <x:f>'DCF'!C10+-0.01</x:f>
        <x:v>0.08150656503898382</x:v>
      </x:c>
      <x:c r="C7" s="220" t="n">
        <x:f aca="0">IF(AND('Source Inputs'!$C$8&gt;0,$B7&gt;C$5),('DCF'!C18/(1+$B7)^'DCF'!C16+'DCF'!D18/(1+$B7)^'DCF'!D16+'DCF'!E18/(1+$B7)^'DCF'!E16+'DCF'!F18/(1+$B7)^'DCF'!F16+'DCF'!G18/(1+$B7)^'DCF'!G16+(('Operating Forecast'!G9*(1+C$5)*('Assumptions'!$F$12-'Assumptions'!$F$13-'Assumptions'!$F$14-'Assumptions'!$F$15)-MAX(0,'Operating Forecast'!G9*(1+C$5)*('Assumptions'!$F$12-'Assumptions'!$F$13-'Assumptions'!$F$14-'Assumptions'!$F$15))*'Assumptions'!$F$17+'Operating Forecast'!G9*(1+C$5)*('Assumptions'!$F$15-'Assumptions'!$F$16)-('Assumptions'!$F$18-'Assumptions'!$F$19)*'Operating Forecast'!G9*C$5)/($B7-C$5))/(1+$B7)^'DCF'!G15+'Source Inputs'!$C$43+'Source Inputs'!$C$15)/'Source Inputs'!$C$8,"INVALID")</x:f>
        <x:v>73.64605528863355</x:v>
      </x:c>
      <x:c r="D7" s="220" t="n">
        <x:f aca="0">IF(AND('Source Inputs'!$C$8&gt;0,$B7&gt;D$5),('DCF'!C18/(1+$B7)^'DCF'!C16+'DCF'!D18/(1+$B7)^'DCF'!D16+'DCF'!E18/(1+$B7)^'DCF'!E16+'DCF'!F18/(1+$B7)^'DCF'!F16+'DCF'!G18/(1+$B7)^'DCF'!G16+(('Operating Forecast'!G9*(1+D$5)*('Assumptions'!$F$12-'Assumptions'!$F$13-'Assumptions'!$F$14-'Assumptions'!$F$15)-MAX(0,'Operating Forecast'!G9*(1+D$5)*('Assumptions'!$F$12-'Assumptions'!$F$13-'Assumptions'!$F$14-'Assumptions'!$F$15))*'Assumptions'!$F$17+'Operating Forecast'!G9*(1+D$5)*('Assumptions'!$F$15-'Assumptions'!$F$16)-('Assumptions'!$F$18-'Assumptions'!$F$19)*'Operating Forecast'!G9*D$5)/($B7-D$5))/(1+$B7)^'DCF'!G15+'Source Inputs'!$C$43+'Source Inputs'!$C$15)/'Source Inputs'!$C$8,"INVALID")</x:f>
        <x:v>77.40220331106684</x:v>
      </x:c>
      <x:c r="E7" s="220" t="n">
        <x:f aca="0">IF(AND('Source Inputs'!$C$8&gt;0,$B7&gt;E$5),('DCF'!C18/(1+$B7)^'DCF'!C16+'DCF'!D18/(1+$B7)^'DCF'!D16+'DCF'!E18/(1+$B7)^'DCF'!E16+'DCF'!F18/(1+$B7)^'DCF'!F16+'DCF'!G18/(1+$B7)^'DCF'!G16+(('Operating Forecast'!G9*(1+E$5)*('Assumptions'!$F$12-'Assumptions'!$F$13-'Assumptions'!$F$14-'Assumptions'!$F$15)-MAX(0,'Operating Forecast'!G9*(1+E$5)*('Assumptions'!$F$12-'Assumptions'!$F$13-'Assumptions'!$F$14-'Assumptions'!$F$15))*'Assumptions'!$F$17+'Operating Forecast'!G9*(1+E$5)*('Assumptions'!$F$15-'Assumptions'!$F$16)-('Assumptions'!$F$18-'Assumptions'!$F$19)*'Operating Forecast'!G9*E$5)/($B7-E$5))/(1+$B7)^'DCF'!G15+'Source Inputs'!$C$43+'Source Inputs'!$C$15)/'Source Inputs'!$C$8,"INVALID")</x:f>
        <x:v>81.76904191913964</x:v>
      </x:c>
      <x:c r="F7" s="220" t="n">
        <x:f aca="0">IF(AND('Source Inputs'!$C$8&gt;0,$B7&gt;F$5),('DCF'!C18/(1+$B7)^'DCF'!C16+'DCF'!D18/(1+$B7)^'DCF'!D16+'DCF'!E18/(1+$B7)^'DCF'!E16+'DCF'!F18/(1+$B7)^'DCF'!F16+'DCF'!G18/(1+$B7)^'DCF'!G16+(('Operating Forecast'!G9*(1+F$5)*('Assumptions'!$F$12-'Assumptions'!$F$13-'Assumptions'!$F$14-'Assumptions'!$F$15)-MAX(0,'Operating Forecast'!G9*(1+F$5)*('Assumptions'!$F$12-'Assumptions'!$F$13-'Assumptions'!$F$14-'Assumptions'!$F$15))*'Assumptions'!$F$17+'Operating Forecast'!G9*(1+F$5)*('Assumptions'!$F$15-'Assumptions'!$F$16)-('Assumptions'!$F$18-'Assumptions'!$F$19)*'Operating Forecast'!G9*F$5)/($B7-F$5))/(1+$B7)^'DCF'!G15+'Source Inputs'!$C$43+'Source Inputs'!$C$15)/'Source Inputs'!$C$8,"INVALID")</x:f>
        <x:v>86.90868252023043</x:v>
      </x:c>
      <x:c r="G7" s="220" t="n">
        <x:f aca="0">IF(AND('Source Inputs'!$C$8&gt;0,$B7&gt;G$5),('DCF'!C18/(1+$B7)^'DCF'!C16+'DCF'!D18/(1+$B7)^'DCF'!D16+'DCF'!E18/(1+$B7)^'DCF'!E16+'DCF'!F18/(1+$B7)^'DCF'!F16+'DCF'!G18/(1+$B7)^'DCF'!G16+(('Operating Forecast'!G9*(1+G$5)*('Assumptions'!$F$12-'Assumptions'!$F$13-'Assumptions'!$F$14-'Assumptions'!$F$15)-MAX(0,'Operating Forecast'!G9*(1+G$5)*('Assumptions'!$F$12-'Assumptions'!$F$13-'Assumptions'!$F$14-'Assumptions'!$F$15))*'Assumptions'!$F$17+'Operating Forecast'!G9*(1+G$5)*('Assumptions'!$F$15-'Assumptions'!$F$16)-('Assumptions'!$F$18-'Assumptions'!$F$19)*'Operating Forecast'!G9*G$5)/($B7-G$5))/(1+$B7)^'DCF'!G15+'Source Inputs'!$C$43+'Source Inputs'!$C$15)/'Source Inputs'!$C$8,"INVALID")</x:f>
        <x:v>93.04618438370613</x:v>
      </x:c>
      <x:c r="H7" s="90"/>
      <x:c r="I7" s="90"/>
      <x:c r="J7" s="90"/>
      <x:c r="K7" s="2"/>
      <x:c r="L7" s="2"/>
    </x:row>
    <x:row r="8" ht="21" hidden="0" customHeight="1">
      <x:c r="A8" s="90"/>
      <x:c r="B8" s="249" t="n">
        <x:f>'DCF'!C10+0</x:f>
        <x:v>0.09150656503898381</x:v>
      </x:c>
      <x:c r="C8" s="220" t="n">
        <x:f aca="0">IF(AND('Source Inputs'!$C$8&gt;0,$B8&gt;C$5),('DCF'!C18/(1+$B8)^'DCF'!C16+'DCF'!D18/(1+$B8)^'DCF'!D16+'DCF'!E18/(1+$B8)^'DCF'!E16+'DCF'!F18/(1+$B8)^'DCF'!F16+'DCF'!G18/(1+$B8)^'DCF'!G16+(('Operating Forecast'!G9*(1+C$5)*('Assumptions'!$F$12-'Assumptions'!$F$13-'Assumptions'!$F$14-'Assumptions'!$F$15)-MAX(0,'Operating Forecast'!G9*(1+C$5)*('Assumptions'!$F$12-'Assumptions'!$F$13-'Assumptions'!$F$14-'Assumptions'!$F$15))*'Assumptions'!$F$17+'Operating Forecast'!G9*(1+C$5)*('Assumptions'!$F$15-'Assumptions'!$F$16)-('Assumptions'!$F$18-'Assumptions'!$F$19)*'Operating Forecast'!G9*C$5)/($B8-C$5))/(1+$B8)^'DCF'!G15+'Source Inputs'!$C$43+'Source Inputs'!$C$15)/'Source Inputs'!$C$8,"INVALID")</x:f>
        <x:v>66.427758501428</x:v>
      </x:c>
      <x:c r="D8" s="220" t="n">
        <x:f aca="0">IF(AND('Source Inputs'!$C$8&gt;0,$B8&gt;D$5),('DCF'!C18/(1+$B8)^'DCF'!C16+'DCF'!D18/(1+$B8)^'DCF'!D16+'DCF'!E18/(1+$B8)^'DCF'!E16+'DCF'!F18/(1+$B8)^'DCF'!F16+'DCF'!G18/(1+$B8)^'DCF'!G16+(('Operating Forecast'!G9*(1+D$5)*('Assumptions'!$F$12-'Assumptions'!$F$13-'Assumptions'!$F$14-'Assumptions'!$F$15)-MAX(0,'Operating Forecast'!G9*(1+D$5)*('Assumptions'!$F$12-'Assumptions'!$F$13-'Assumptions'!$F$14-'Assumptions'!$F$15))*'Assumptions'!$F$17+'Operating Forecast'!G9*(1+D$5)*('Assumptions'!$F$15-'Assumptions'!$F$16)-('Assumptions'!$F$18-'Assumptions'!$F$19)*'Operating Forecast'!G9*D$5)/($B8-D$5))/(1+$B8)^'DCF'!G15+'Source Inputs'!$C$43+'Source Inputs'!$C$15)/'Source Inputs'!$C$8,"INVALID")</x:f>
        <x:v>69.22693162039643</x:v>
      </x:c>
      <x:c r="E8" s="220" t="n">
        <x:f aca="0">IF(AND('Source Inputs'!$C$8&gt;0,$B8&gt;E$5),('DCF'!C18/(1+$B8)^'DCF'!C16+'DCF'!D18/(1+$B8)^'DCF'!D16+'DCF'!E18/(1+$B8)^'DCF'!E16+'DCF'!F18/(1+$B8)^'DCF'!F16+'DCF'!G18/(1+$B8)^'DCF'!G16+(('Operating Forecast'!G9*(1+E$5)*('Assumptions'!$F$12-'Assumptions'!$F$13-'Assumptions'!$F$14-'Assumptions'!$F$15)-MAX(0,'Operating Forecast'!G9*(1+E$5)*('Assumptions'!$F$12-'Assumptions'!$F$13-'Assumptions'!$F$14-'Assumptions'!$F$15))*'Assumptions'!$F$17+'Operating Forecast'!G9*(1+E$5)*('Assumptions'!$F$15-'Assumptions'!$F$16)-('Assumptions'!$F$18-'Assumptions'!$F$19)*'Operating Forecast'!G9*E$5)/($B8-E$5))/(1+$B8)^'DCF'!G15+'Source Inputs'!$C$43+'Source Inputs'!$C$15)/'Source Inputs'!$C$8,"INVALID")</x:f>
        <x:v>72.4175615402114</x:v>
      </x:c>
      <x:c r="F8" s="220" t="n">
        <x:f aca="0">IF(AND('Source Inputs'!$C$8&gt;0,$B8&gt;F$5),('DCF'!C18/(1+$B8)^'DCF'!C16+'DCF'!D18/(1+$B8)^'DCF'!D16+'DCF'!E18/(1+$B8)^'DCF'!E16+'DCF'!F18/(1+$B8)^'DCF'!F16+'DCF'!G18/(1+$B8)^'DCF'!G16+(('Operating Forecast'!G9*(1+F$5)*('Assumptions'!$F$12-'Assumptions'!$F$13-'Assumptions'!$F$14-'Assumptions'!$F$15)-MAX(0,'Operating Forecast'!G9*(1+F$5)*('Assumptions'!$F$12-'Assumptions'!$F$13-'Assumptions'!$F$14-'Assumptions'!$F$15))*'Assumptions'!$F$17+'Operating Forecast'!G9*(1+F$5)*('Assumptions'!$F$15-'Assumptions'!$F$16)-('Assumptions'!$F$18-'Assumptions'!$F$19)*'Operating Forecast'!G9*F$5)/($B8-F$5))/(1+$B8)^'DCF'!G15+'Source Inputs'!$C$43+'Source Inputs'!$C$15)/'Source Inputs'!$C$8,"INVALID")</x:f>
        <x:v>76.08793807119842</x:v>
      </x:c>
      <x:c r="G8" s="220" t="n">
        <x:f aca="0">IF(AND('Source Inputs'!$C$8&gt;0,$B8&gt;G$5),('DCF'!C18/(1+$B8)^'DCF'!C16+'DCF'!D18/(1+$B8)^'DCF'!D16+'DCF'!E18/(1+$B8)^'DCF'!E16+'DCF'!F18/(1+$B8)^'DCF'!F16+'DCF'!G18/(1+$B8)^'DCF'!G16+(('Operating Forecast'!G9*(1+G$5)*('Assumptions'!$F$12-'Assumptions'!$F$13-'Assumptions'!$F$14-'Assumptions'!$F$15)-MAX(0,'Operating Forecast'!G9*(1+G$5)*('Assumptions'!$F$12-'Assumptions'!$F$13-'Assumptions'!$F$14-'Assumptions'!$F$15))*'Assumptions'!$F$17+'Operating Forecast'!G9*(1+G$5)*('Assumptions'!$F$15-'Assumptions'!$F$16)-('Assumptions'!$F$18-'Assumptions'!$F$19)*'Operating Forecast'!G9*G$5)/($B8-G$5))/(1+$B8)^'DCF'!G15+'Source Inputs'!$C$43+'Source Inputs'!$C$15)/'Source Inputs'!$C$8,"INVALID")</x:f>
        <x:v>80.35506009246943</x:v>
      </x:c>
      <x:c r="H8" s="90"/>
      <x:c r="I8" s="90"/>
      <x:c r="J8" s="90"/>
      <x:c r="K8" s="2"/>
      <x:c r="L8" s="2"/>
    </x:row>
    <x:row r="9" ht="21" hidden="0" customHeight="1">
      <x:c r="A9" s="90"/>
      <x:c r="B9" s="249" t="n">
        <x:f>'DCF'!C10+0.01</x:f>
        <x:v>0.10150656503898381</x:v>
      </x:c>
      <x:c r="C9" s="220" t="n">
        <x:f aca="0">IF(AND('Source Inputs'!$C$8&gt;0,$B9&gt;C$5),('DCF'!C18/(1+$B9)^'DCF'!C16+'DCF'!D18/(1+$B9)^'DCF'!D16+'DCF'!E18/(1+$B9)^'DCF'!E16+'DCF'!F18/(1+$B9)^'DCF'!F16+'DCF'!G18/(1+$B9)^'DCF'!G16+(('Operating Forecast'!G9*(1+C$5)*('Assumptions'!$F$12-'Assumptions'!$F$13-'Assumptions'!$F$14-'Assumptions'!$F$15)-MAX(0,'Operating Forecast'!G9*(1+C$5)*('Assumptions'!$F$12-'Assumptions'!$F$13-'Assumptions'!$F$14-'Assumptions'!$F$15))*'Assumptions'!$F$17+'Operating Forecast'!G9*(1+C$5)*('Assumptions'!$F$15-'Assumptions'!$F$16)-('Assumptions'!$F$18-'Assumptions'!$F$19)*'Operating Forecast'!G9*C$5)/($B9-C$5))/(1+$B9)^'DCF'!G15+'Source Inputs'!$C$43+'Source Inputs'!$C$15)/'Source Inputs'!$C$8,"INVALID")</x:f>
        <x:v>60.791335675015254</x:v>
      </x:c>
      <x:c r="D9" s="220" t="n">
        <x:f aca="0">IF(AND('Source Inputs'!$C$8&gt;0,$B9&gt;D$5),('DCF'!C18/(1+$B9)^'DCF'!C16+'DCF'!D18/(1+$B9)^'DCF'!D16+'DCF'!E18/(1+$B9)^'DCF'!E16+'DCF'!F18/(1+$B9)^'DCF'!F16+'DCF'!G18/(1+$B9)^'DCF'!G16+(('Operating Forecast'!G9*(1+D$5)*('Assumptions'!$F$12-'Assumptions'!$F$13-'Assumptions'!$F$14-'Assumptions'!$F$15)-MAX(0,'Operating Forecast'!G9*(1+D$5)*('Assumptions'!$F$12-'Assumptions'!$F$13-'Assumptions'!$F$14-'Assumptions'!$F$15))*'Assumptions'!$F$17+'Operating Forecast'!G9*(1+D$5)*('Assumptions'!$F$15-'Assumptions'!$F$16)-('Assumptions'!$F$18-'Assumptions'!$F$19)*'Operating Forecast'!G9*D$5)/($B9-D$5))/(1+$B9)^'DCF'!G15+'Source Inputs'!$C$43+'Source Inputs'!$C$15)/'Source Inputs'!$C$8,"INVALID")</x:f>
        <x:v>62.94623005643831</x:v>
      </x:c>
      <x:c r="E9" s="220" t="n">
        <x:f aca="0">IF(AND('Source Inputs'!$C$8&gt;0,$B9&gt;E$5),('DCF'!C18/(1+$B9)^'DCF'!C16+'DCF'!D18/(1+$B9)^'DCF'!D16+'DCF'!E18/(1+$B9)^'DCF'!E16+'DCF'!F18/(1+$B9)^'DCF'!F16+'DCF'!G18/(1+$B9)^'DCF'!G16+(('Operating Forecast'!G9*(1+E$5)*('Assumptions'!$F$12-'Assumptions'!$F$13-'Assumptions'!$F$14-'Assumptions'!$F$15)-MAX(0,'Operating Forecast'!G9*(1+E$5)*('Assumptions'!$F$12-'Assumptions'!$F$13-'Assumptions'!$F$14-'Assumptions'!$F$15))*'Assumptions'!$F$17+'Operating Forecast'!G9*(1+E$5)*('Assumptions'!$F$15-'Assumptions'!$F$16)-('Assumptions'!$F$18-'Assumptions'!$F$19)*'Operating Forecast'!G9*E$5)/($B9-E$5))/(1+$B9)^'DCF'!G15+'Source Inputs'!$C$43+'Source Inputs'!$C$15)/'Source Inputs'!$C$8,"INVALID")</x:f>
        <x:v>65.36550735970233</x:v>
      </x:c>
      <x:c r="F9" s="220" t="n">
        <x:f aca="0">IF(AND('Source Inputs'!$C$8&gt;0,$B9&gt;F$5),('DCF'!C18/(1+$B9)^'DCF'!C16+'DCF'!D18/(1+$B9)^'DCF'!D16+'DCF'!E18/(1+$B9)^'DCF'!E16+'DCF'!F18/(1+$B9)^'DCF'!F16+'DCF'!G18/(1+$B9)^'DCF'!G16+(('Operating Forecast'!G9*(1+F$5)*('Assumptions'!$F$12-'Assumptions'!$F$13-'Assumptions'!$F$14-'Assumptions'!$F$15)-MAX(0,'Operating Forecast'!G9*(1+F$5)*('Assumptions'!$F$12-'Assumptions'!$F$13-'Assumptions'!$F$14-'Assumptions'!$F$15))*'Assumptions'!$F$17+'Operating Forecast'!G9*(1+F$5)*('Assumptions'!$F$15-'Assumptions'!$F$16)-('Assumptions'!$F$18-'Assumptions'!$F$19)*'Operating Forecast'!G9*F$5)/($B9-F$5))/(1+$B9)^'DCF'!G15+'Source Inputs'!$C$43+'Source Inputs'!$C$15)/'Source Inputs'!$C$8,"INVALID")</x:f>
        <x:v>68.10100292502418</x:v>
      </x:c>
      <x:c r="G9" s="220" t="n">
        <x:f aca="0">IF(AND('Source Inputs'!$C$8&gt;0,$B9&gt;G$5),('DCF'!C18/(1+$B9)^'DCF'!C16+'DCF'!D18/(1+$B9)^'DCF'!D16+'DCF'!E18/(1+$B9)^'DCF'!E16+'DCF'!F18/(1+$B9)^'DCF'!F16+'DCF'!G18/(1+$B9)^'DCF'!G16+(('Operating Forecast'!G9*(1+G$5)*('Assumptions'!$F$12-'Assumptions'!$F$13-'Assumptions'!$F$14-'Assumptions'!$F$15)-MAX(0,'Operating Forecast'!G9*(1+G$5)*('Assumptions'!$F$12-'Assumptions'!$F$13-'Assumptions'!$F$14-'Assumptions'!$F$15))*'Assumptions'!$F$17+'Operating Forecast'!G9*(1+G$5)*('Assumptions'!$F$15-'Assumptions'!$F$16)-('Assumptions'!$F$18-'Assumptions'!$F$19)*'Operating Forecast'!G9*G$5)/($B9-G$5))/(1+$B9)^'DCF'!G15+'Source Inputs'!$C$43+'Source Inputs'!$C$15)/'Source Inputs'!$C$8,"INVALID")</x:f>
        <x:v>71.21905015729165</x:v>
      </x:c>
      <x:c r="H9" s="90"/>
      <x:c r="I9" s="90"/>
      <x:c r="J9" s="90"/>
      <x:c r="K9" s="2"/>
      <x:c r="L9" s="2"/>
    </x:row>
    <x:row r="10" ht="21" hidden="0" customHeight="1">
      <x:c r="A10" s="90"/>
      <x:c r="B10" s="249" t="n">
        <x:f>'DCF'!C10+0.02</x:f>
        <x:v>0.11150656503898382</x:v>
      </x:c>
      <x:c r="C10" s="220" t="n">
        <x:f aca="0">IF(AND('Source Inputs'!$C$8&gt;0,$B10&gt;C$5),('DCF'!C18/(1+$B10)^'DCF'!C16+'DCF'!D18/(1+$B10)^'DCF'!D16+'DCF'!E18/(1+$B10)^'DCF'!E16+'DCF'!F18/(1+$B10)^'DCF'!F16+'DCF'!G18/(1+$B10)^'DCF'!G16+(('Operating Forecast'!G9*(1+C$5)*('Assumptions'!$F$12-'Assumptions'!$F$13-'Assumptions'!$F$14-'Assumptions'!$F$15)-MAX(0,'Operating Forecast'!G9*(1+C$5)*('Assumptions'!$F$12-'Assumptions'!$F$13-'Assumptions'!$F$14-'Assumptions'!$F$15))*'Assumptions'!$F$17+'Operating Forecast'!G9*(1+C$5)*('Assumptions'!$F$15-'Assumptions'!$F$16)-('Assumptions'!$F$18-'Assumptions'!$F$19)*'Operating Forecast'!G9*C$5)/($B10-C$5))/(1+$B10)^'DCF'!G15+'Source Inputs'!$C$43+'Source Inputs'!$C$15)/'Source Inputs'!$C$8,"INVALID")</x:f>
        <x:v>56.268778456323815</x:v>
      </x:c>
      <x:c r="D10" s="220" t="n">
        <x:f aca="0">IF(AND('Source Inputs'!$C$8&gt;0,$B10&gt;D$5),('DCF'!C18/(1+$B10)^'DCF'!C16+'DCF'!D18/(1+$B10)^'DCF'!D16+'DCF'!E18/(1+$B10)^'DCF'!E16+'DCF'!F18/(1+$B10)^'DCF'!F16+'DCF'!G18/(1+$B10)^'DCF'!G16+(('Operating Forecast'!G9*(1+D$5)*('Assumptions'!$F$12-'Assumptions'!$F$13-'Assumptions'!$F$14-'Assumptions'!$F$15)-MAX(0,'Operating Forecast'!G9*(1+D$5)*('Assumptions'!$F$12-'Assumptions'!$F$13-'Assumptions'!$F$14-'Assumptions'!$F$15))*'Assumptions'!$F$17+'Operating Forecast'!G9*(1+D$5)*('Assumptions'!$F$15-'Assumptions'!$F$16)-('Assumptions'!$F$18-'Assumptions'!$F$19)*'Operating Forecast'!G9*D$5)/($B10-D$5))/(1+$B10)^'DCF'!G15+'Source Inputs'!$C$43+'Source Inputs'!$C$15)/'Source Inputs'!$C$8,"INVALID")</x:f>
        <x:v>57.970630979915285</x:v>
      </x:c>
      <x:c r="E10" s="220" t="n">
        <x:f aca="0">IF(AND('Source Inputs'!$C$8&gt;0,$B10&gt;E$5),('DCF'!C18/(1+$B10)^'DCF'!C16+'DCF'!D18/(1+$B10)^'DCF'!D16+'DCF'!E18/(1+$B10)^'DCF'!E16+'DCF'!F18/(1+$B10)^'DCF'!F16+'DCF'!G18/(1+$B10)^'DCF'!G16+(('Operating Forecast'!G9*(1+E$5)*('Assumptions'!$F$12-'Assumptions'!$F$13-'Assumptions'!$F$14-'Assumptions'!$F$15)-MAX(0,'Operating Forecast'!G9*(1+E$5)*('Assumptions'!$F$12-'Assumptions'!$F$13-'Assumptions'!$F$14-'Assumptions'!$F$15))*'Assumptions'!$F$17+'Operating Forecast'!G9*(1+E$5)*('Assumptions'!$F$15-'Assumptions'!$F$16)-('Assumptions'!$F$18-'Assumptions'!$F$19)*'Operating Forecast'!G9*E$5)/($B10-E$5))/(1+$B10)^'DCF'!G15+'Source Inputs'!$C$43+'Source Inputs'!$C$15)/'Source Inputs'!$C$8,"INVALID")</x:f>
        <x:v>59.85846497083276</x:v>
      </x:c>
      <x:c r="F10" s="220" t="n">
        <x:f aca="0">IF(AND('Source Inputs'!$C$8&gt;0,$B10&gt;F$5),('DCF'!C18/(1+$B10)^'DCF'!C16+'DCF'!D18/(1+$B10)^'DCF'!D16+'DCF'!E18/(1+$B10)^'DCF'!E16+'DCF'!F18/(1+$B10)^'DCF'!F16+'DCF'!G18/(1+$B10)^'DCF'!G16+(('Operating Forecast'!G9*(1+F$5)*('Assumptions'!$F$12-'Assumptions'!$F$13-'Assumptions'!$F$14-'Assumptions'!$F$15)-MAX(0,'Operating Forecast'!G9*(1+F$5)*('Assumptions'!$F$12-'Assumptions'!$F$13-'Assumptions'!$F$14-'Assumptions'!$F$15))*'Assumptions'!$F$17+'Operating Forecast'!G9*(1+F$5)*('Assumptions'!$F$15-'Assumptions'!$F$16)-('Assumptions'!$F$18-'Assumptions'!$F$19)*'Operating Forecast'!G9*F$5)/($B10-F$5))/(1+$B10)^'DCF'!G15+'Source Inputs'!$C$43+'Source Inputs'!$C$15)/'Source Inputs'!$C$8,"INVALID")</x:f>
        <x:v>61.964529103019494</x:v>
      </x:c>
      <x:c r="G10" s="220" t="n">
        <x:f aca="0">IF(AND('Source Inputs'!$C$8&gt;0,$B10&gt;G$5),('DCF'!C18/(1+$B10)^'DCF'!C16+'DCF'!D18/(1+$B10)^'DCF'!D16+'DCF'!E18/(1+$B10)^'DCF'!E16+'DCF'!F18/(1+$B10)^'DCF'!F16+'DCF'!G18/(1+$B10)^'DCF'!G16+(('Operating Forecast'!G9*(1+G$5)*('Assumptions'!$F$12-'Assumptions'!$F$13-'Assumptions'!$F$14-'Assumptions'!$F$15)-MAX(0,'Operating Forecast'!G9*(1+G$5)*('Assumptions'!$F$12-'Assumptions'!$F$13-'Assumptions'!$F$14-'Assumptions'!$F$15))*'Assumptions'!$F$17+'Operating Forecast'!G9*(1+G$5)*('Assumptions'!$F$15-'Assumptions'!$F$16)-('Assumptions'!$F$18-'Assumptions'!$F$19)*'Operating Forecast'!G9*G$5)/($B10-G$5))/(1+$B10)^'DCF'!G15+'Source Inputs'!$C$43+'Source Inputs'!$C$15)/'Source Inputs'!$C$8,"INVALID")</x:f>
        <x:v>64.32898519801064</x:v>
      </x:c>
      <x:c r="H10" s="90"/>
      <x:c r="I10" s="90"/>
      <x:c r="J10" s="90"/>
      <x:c r="K10" s="2"/>
      <x:c r="L10" s="2"/>
    </x:row>
    <x:row r="11" ht="21" hidden="0" customHeight="1">
      <x:c r="A11" s="90"/>
      <x:c r="B11" s="90"/>
      <x:c r="C11" s="90"/>
      <x:c r="D11" s="90"/>
      <x:c r="E11" s="90"/>
      <x:c r="F11" s="90"/>
      <x:c r="G11" s="90"/>
      <x:c r="H11" s="90"/>
      <x:c r="I11" s="90"/>
      <x:c r="J11" s="90"/>
      <x:c r="K11" s="2"/>
      <x:c r="L11" s="2"/>
    </x:row>
    <x:row r="12" ht="21" hidden="0" customHeight="1">
      <x:c r="A12" s="110"/>
      <x:c r="B12" s="110"/>
      <x:c r="C12" s="110"/>
      <x:c r="D12" s="110"/>
      <x:c r="E12" s="110"/>
      <x:c r="F12" s="110"/>
      <x:c r="G12" s="110"/>
      <x:c r="H12" s="110"/>
      <x:c r="I12" s="110"/>
      <x:c r="J12" s="110"/>
      <x:c r="K12" s="2"/>
      <x:c r="L12" s="2"/>
    </x:row>
    <x:row r="13" ht="25" hidden="0" customHeight="1">
      <x:c r="A13" s="90"/>
      <x:c r="B13" s="251" t="str">
        <x:v>Value per share: WACC × exit multiple</x:v>
      </x:c>
      <x:c r="C13" s="245"/>
      <x:c r="D13" s="245"/>
      <x:c r="E13" s="245"/>
      <x:c r="F13" s="245"/>
      <x:c r="G13" s="245"/>
      <x:c r="H13" s="105"/>
      <x:c r="I13" s="105"/>
      <x:c r="J13" s="105"/>
      <x:c r="K13" s="2"/>
      <x:c r="L13" s="2"/>
    </x:row>
    <x:row r="14" ht="21" hidden="0" customHeight="1">
      <x:c r="A14" s="90"/>
      <x:c r="B14" s="115"/>
      <x:c r="C14" s="231" t="n">
        <x:f aca="0">'Assumptions'!$C$32+-1</x:f>
        <x:v>5</x:v>
      </x:c>
      <x:c r="D14" s="231" t="n">
        <x:f aca="0">'Assumptions'!$C$32+-0.5</x:f>
        <x:v>5.5</x:v>
      </x:c>
      <x:c r="E14" s="231" t="n">
        <x:f aca="0">'Assumptions'!$C$32+0</x:f>
        <x:v>6</x:v>
      </x:c>
      <x:c r="F14" s="231" t="n">
        <x:f aca="0">'Assumptions'!$C$32+0.5</x:f>
        <x:v>6.5</x:v>
      </x:c>
      <x:c r="G14" s="231" t="n">
        <x:f aca="0">'Assumptions'!$C$32+1</x:f>
        <x:v>7</x:v>
      </x:c>
      <x:c r="H14" s="90"/>
      <x:c r="I14" s="90"/>
      <x:c r="J14" s="90"/>
      <x:c r="K14" s="2"/>
      <x:c r="L14" s="2"/>
    </x:row>
    <x:row r="15" ht="21" hidden="0" customHeight="1">
      <x:c r="A15" s="90"/>
      <x:c r="B15" s="249" t="n">
        <x:f>'DCF'!C10+-0.02</x:f>
        <x:v>0.07150656503898381</x:v>
      </x:c>
      <x:c r="C15" s="220" t="n">
        <x:f aca="0">IF(AND('Source Inputs'!$C$8&gt;0,$B15&gt;0),('DCF'!C18/(1+$B15)^'DCF'!C16+'DCF'!D18/(1+$B15)^'DCF'!D16+'DCF'!E18/(1+$B15)^'DCF'!E16+'DCF'!F18/(1+$B15)^'DCF'!F16+'DCF'!G18/(1+$B15)^'DCF'!G16+(C$14*'Operating Forecast'!G11)/(1+$B15)^'DCF'!G15+'Source Inputs'!$C$43+'Source Inputs'!$C$15)/'Source Inputs'!$C$8,"INVALID")</x:f>
        <x:v>70.8098892749118</x:v>
      </x:c>
      <x:c r="D15" s="220" t="n">
        <x:f aca="0">IF(AND('Source Inputs'!$C$8&gt;0,$B15&gt;0),('DCF'!C18/(1+$B15)^'DCF'!C16+'DCF'!D18/(1+$B15)^'DCF'!D16+'DCF'!E18/(1+$B15)^'DCF'!E16+'DCF'!F18/(1+$B15)^'DCF'!F16+'DCF'!G18/(1+$B15)^'DCF'!G16+(D$14*'Operating Forecast'!G11)/(1+$B15)^'DCF'!G15+'Source Inputs'!$C$43+'Source Inputs'!$C$15)/'Source Inputs'!$C$8,"INVALID")</x:f>
        <x:v>74.88679843919124</x:v>
      </x:c>
      <x:c r="E15" s="220" t="n">
        <x:f aca="0">IF(AND('Source Inputs'!$C$8&gt;0,$B15&gt;0),('DCF'!C18/(1+$B15)^'DCF'!C16+'DCF'!D18/(1+$B15)^'DCF'!D16+'DCF'!E18/(1+$B15)^'DCF'!E16+'DCF'!F18/(1+$B15)^'DCF'!F16+'DCF'!G18/(1+$B15)^'DCF'!G16+(E$14*'Operating Forecast'!G11)/(1+$B15)^'DCF'!G15+'Source Inputs'!$C$43+'Source Inputs'!$C$15)/'Source Inputs'!$C$8,"INVALID")</x:f>
        <x:v>78.96370760347071</x:v>
      </x:c>
      <x:c r="F15" s="220" t="n">
        <x:f aca="0">IF(AND('Source Inputs'!$C$8&gt;0,$B15&gt;0),('DCF'!C18/(1+$B15)^'DCF'!C16+'DCF'!D18/(1+$B15)^'DCF'!D16+'DCF'!E18/(1+$B15)^'DCF'!E16+'DCF'!F18/(1+$B15)^'DCF'!F16+'DCF'!G18/(1+$B15)^'DCF'!G16+(F$14*'Operating Forecast'!G11)/(1+$B15)^'DCF'!G15+'Source Inputs'!$C$43+'Source Inputs'!$C$15)/'Source Inputs'!$C$8,"INVALID")</x:f>
        <x:v>83.04061676775017</x:v>
      </x:c>
      <x:c r="G15" s="220" t="n">
        <x:f aca="0">IF(AND('Source Inputs'!$C$8&gt;0,$B15&gt;0),('DCF'!C18/(1+$B15)^'DCF'!C16+'DCF'!D18/(1+$B15)^'DCF'!D16+'DCF'!E18/(1+$B15)^'DCF'!E16+'DCF'!F18/(1+$B15)^'DCF'!F16+'DCF'!G18/(1+$B15)^'DCF'!G16+(G$14*'Operating Forecast'!G11)/(1+$B15)^'DCF'!G15+'Source Inputs'!$C$43+'Source Inputs'!$C$15)/'Source Inputs'!$C$8,"INVALID")</x:f>
        <x:v>87.11752593202961</x:v>
      </x:c>
      <x:c r="H15" s="90"/>
      <x:c r="I15" s="90"/>
      <x:c r="J15" s="90"/>
      <x:c r="K15" s="2"/>
      <x:c r="L15" s="2"/>
    </x:row>
    <x:row r="16" ht="21" hidden="0" customHeight="1">
      <x:c r="A16" s="90"/>
      <x:c r="B16" s="249" t="n">
        <x:f>'DCF'!C10+-0.01</x:f>
        <x:v>0.08150656503898382</x:v>
      </x:c>
      <x:c r="C16" s="220" t="n">
        <x:f aca="0">IF(AND('Source Inputs'!$C$8&gt;0,$B16&gt;0),('DCF'!C18/(1+$B16)^'DCF'!C16+'DCF'!D18/(1+$B16)^'DCF'!D16+'DCF'!E18/(1+$B16)^'DCF'!E16+'DCF'!F18/(1+$B16)^'DCF'!F16+'DCF'!G18/(1+$B16)^'DCF'!G16+(C$14*'Operating Forecast'!G11)/(1+$B16)^'DCF'!G15+'Source Inputs'!$C$43+'Source Inputs'!$C$15)/'Source Inputs'!$C$8,"INVALID")</x:f>
        <x:v>68.86989383164843</x:v>
      </x:c>
      <x:c r="D16" s="220" t="n">
        <x:f aca="0">IF(AND('Source Inputs'!$C$8&gt;0,$B16&gt;0),('DCF'!C18/(1+$B16)^'DCF'!C16+'DCF'!D18/(1+$B16)^'DCF'!D16+'DCF'!E18/(1+$B16)^'DCF'!E16+'DCF'!F18/(1+$B16)^'DCF'!F16+'DCF'!G18/(1+$B16)^'DCF'!G16+(D$14*'Operating Forecast'!G11)/(1+$B16)^'DCF'!G15+'Source Inputs'!$C$43+'Source Inputs'!$C$15)/'Source Inputs'!$C$8,"INVALID")</x:f>
        <x:v>72.7862162617351</x:v>
      </x:c>
      <x:c r="E16" s="220" t="n">
        <x:f aca="0">IF(AND('Source Inputs'!$C$8&gt;0,$B16&gt;0),('DCF'!C18/(1+$B16)^'DCF'!C16+'DCF'!D18/(1+$B16)^'DCF'!D16+'DCF'!E18/(1+$B16)^'DCF'!E16+'DCF'!F18/(1+$B16)^'DCF'!F16+'DCF'!G18/(1+$B16)^'DCF'!G16+(E$14*'Operating Forecast'!G11)/(1+$B16)^'DCF'!G15+'Source Inputs'!$C$43+'Source Inputs'!$C$15)/'Source Inputs'!$C$8,"INVALID")</x:f>
        <x:v>76.70253869182181</x:v>
      </x:c>
      <x:c r="F16" s="220" t="n">
        <x:f aca="0">IF(AND('Source Inputs'!$C$8&gt;0,$B16&gt;0),('DCF'!C18/(1+$B16)^'DCF'!C16+'DCF'!D18/(1+$B16)^'DCF'!D16+'DCF'!E18/(1+$B16)^'DCF'!E16+'DCF'!F18/(1+$B16)^'DCF'!F16+'DCF'!G18/(1+$B16)^'DCF'!G16+(F$14*'Operating Forecast'!G11)/(1+$B16)^'DCF'!G15+'Source Inputs'!$C$43+'Source Inputs'!$C$15)/'Source Inputs'!$C$8,"INVALID")</x:f>
        <x:v>80.61886112190852</x:v>
      </x:c>
      <x:c r="G16" s="220" t="n">
        <x:f aca="0">IF(AND('Source Inputs'!$C$8&gt;0,$B16&gt;0),('DCF'!C18/(1+$B16)^'DCF'!C16+'DCF'!D18/(1+$B16)^'DCF'!D16+'DCF'!E18/(1+$B16)^'DCF'!E16+'DCF'!F18/(1+$B16)^'DCF'!F16+'DCF'!G18/(1+$B16)^'DCF'!G16+(G$14*'Operating Forecast'!G11)/(1+$B16)^'DCF'!G15+'Source Inputs'!$C$43+'Source Inputs'!$C$15)/'Source Inputs'!$C$8,"INVALID")</x:f>
        <x:v>84.53518355199522</x:v>
      </x:c>
      <x:c r="H16" s="90"/>
      <x:c r="I16" s="90"/>
      <x:c r="J16" s="90"/>
      <x:c r="K16" s="2"/>
      <x:c r="L16" s="2"/>
    </x:row>
    <x:row r="17" ht="21" hidden="0" customHeight="1">
      <x:c r="A17" s="90"/>
      <x:c r="B17" s="249" t="n">
        <x:f>'DCF'!C10+0</x:f>
        <x:v>0.09150656503898381</x:v>
      </x:c>
      <x:c r="C17" s="220" t="n">
        <x:f aca="0">IF(AND('Source Inputs'!$C$8&gt;0,$B17&gt;0),('DCF'!C18/(1+$B17)^'DCF'!C16+'DCF'!D18/(1+$B17)^'DCF'!D16+'DCF'!E18/(1+$B17)^'DCF'!E16+'DCF'!F18/(1+$B17)^'DCF'!F16+'DCF'!G18/(1+$B17)^'DCF'!G16+(C$14*'Operating Forecast'!G11)/(1+$B17)^'DCF'!G15+'Source Inputs'!$C$43+'Source Inputs'!$C$15)/'Source Inputs'!$C$8,"INVALID")</x:f>
        <x:v>67.01850272983842</x:v>
      </x:c>
      <x:c r="D17" s="220" t="n">
        <x:f aca="0">IF(AND('Source Inputs'!$C$8&gt;0,$B17&gt;0),('DCF'!C18/(1+$B17)^'DCF'!C16+'DCF'!D18/(1+$B17)^'DCF'!D16+'DCF'!E18/(1+$B17)^'DCF'!E16+'DCF'!F18/(1+$B17)^'DCF'!F16+'DCF'!G18/(1+$B17)^'DCF'!G16+(D$14*'Operating Forecast'!G11)/(1+$B17)^'DCF'!G15+'Source Inputs'!$C$43+'Source Inputs'!$C$15)/'Source Inputs'!$C$8,"INVALID")</x:f>
        <x:v>70.78195556233771</x:v>
      </x:c>
      <x:c r="E17" s="220" t="n">
        <x:f aca="0">IF(AND('Source Inputs'!$C$8&gt;0,$B17&gt;0),('DCF'!C18/(1+$B17)^'DCF'!C16+'DCF'!D18/(1+$B17)^'DCF'!D16+'DCF'!E18/(1+$B17)^'DCF'!E16+'DCF'!F18/(1+$B17)^'DCF'!F16+'DCF'!G18/(1+$B17)^'DCF'!G16+(E$14*'Operating Forecast'!G11)/(1+$B17)^'DCF'!G15+'Source Inputs'!$C$43+'Source Inputs'!$C$15)/'Source Inputs'!$C$8,"INVALID")</x:f>
        <x:v>74.54540839483701</x:v>
      </x:c>
      <x:c r="F17" s="220" t="n">
        <x:f aca="0">IF(AND('Source Inputs'!$C$8&gt;0,$B17&gt;0),('DCF'!C18/(1+$B17)^'DCF'!C16+'DCF'!D18/(1+$B17)^'DCF'!D16+'DCF'!E18/(1+$B17)^'DCF'!E16+'DCF'!F18/(1+$B17)^'DCF'!F16+'DCF'!G18/(1+$B17)^'DCF'!G16+(F$14*'Operating Forecast'!G11)/(1+$B17)^'DCF'!G15+'Source Inputs'!$C$43+'Source Inputs'!$C$15)/'Source Inputs'!$C$8,"INVALID")</x:f>
        <x:v>78.30886122733632</x:v>
      </x:c>
      <x:c r="G17" s="220" t="n">
        <x:f aca="0">IF(AND('Source Inputs'!$C$8&gt;0,$B17&gt;0),('DCF'!C18/(1+$B17)^'DCF'!C16+'DCF'!D18/(1+$B17)^'DCF'!D16+'DCF'!E18/(1+$B17)^'DCF'!E16+'DCF'!F18/(1+$B17)^'DCF'!F16+'DCF'!G18/(1+$B17)^'DCF'!G16+(G$14*'Operating Forecast'!G11)/(1+$B17)^'DCF'!G15+'Source Inputs'!$C$43+'Source Inputs'!$C$15)/'Source Inputs'!$C$8,"INVALID")</x:f>
        <x:v>82.07231405983562</x:v>
      </x:c>
      <x:c r="H17" s="90"/>
      <x:c r="I17" s="90"/>
      <x:c r="J17" s="90"/>
      <x:c r="K17" s="2"/>
      <x:c r="L17" s="2"/>
    </x:row>
    <x:row r="18" ht="21" hidden="0" customHeight="1">
      <x:c r="A18" s="90"/>
      <x:c r="B18" s="249" t="n">
        <x:f>'DCF'!C10+0.01</x:f>
        <x:v>0.10150656503898381</x:v>
      </x:c>
      <x:c r="C18" s="220" t="n">
        <x:f aca="0">IF(AND('Source Inputs'!$C$8&gt;0,$B18&gt;0),('DCF'!C18/(1+$B18)^'DCF'!C16+'DCF'!D18/(1+$B18)^'DCF'!D16+'DCF'!E18/(1+$B18)^'DCF'!E16+'DCF'!F18/(1+$B18)^'DCF'!F16+'DCF'!G18/(1+$B18)^'DCF'!G16+(C$14*'Operating Forecast'!G11)/(1+$B18)^'DCF'!G15+'Source Inputs'!$C$43+'Source Inputs'!$C$15)/'Source Inputs'!$C$8,"INVALID")</x:f>
        <x:v>65.25083269423571</x:v>
      </x:c>
      <x:c r="D18" s="220" t="n">
        <x:f aca="0">IF(AND('Source Inputs'!$C$8&gt;0,$B18&gt;0),('DCF'!C18/(1+$B18)^'DCF'!C16+'DCF'!D18/(1+$B18)^'DCF'!D16+'DCF'!E18/(1+$B18)^'DCF'!E16+'DCF'!F18/(1+$B18)^'DCF'!F16+'DCF'!G18/(1+$B18)^'DCF'!G16+(D$14*'Operating Forecast'!G11)/(1+$B18)^'DCF'!G15+'Source Inputs'!$C$43+'Source Inputs'!$C$15)/'Source Inputs'!$C$8,"INVALID")</x:f>
        <x:v>68.86869653005346</x:v>
      </x:c>
      <x:c r="E18" s="220" t="n">
        <x:f aca="0">IF(AND('Source Inputs'!$C$8&gt;0,$B18&gt;0),('DCF'!C18/(1+$B18)^'DCF'!C16+'DCF'!D18/(1+$B18)^'DCF'!D16+'DCF'!E18/(1+$B18)^'DCF'!E16+'DCF'!F18/(1+$B18)^'DCF'!F16+'DCF'!G18/(1+$B18)^'DCF'!G16+(E$14*'Operating Forecast'!G11)/(1+$B18)^'DCF'!G15+'Source Inputs'!$C$43+'Source Inputs'!$C$15)/'Source Inputs'!$C$8,"INVALID")</x:f>
        <x:v>72.48656036587124</x:v>
      </x:c>
      <x:c r="F18" s="220" t="n">
        <x:f aca="0">IF(AND('Source Inputs'!$C$8&gt;0,$B18&gt;0),('DCF'!C18/(1+$B18)^'DCF'!C16+'DCF'!D18/(1+$B18)^'DCF'!D16+'DCF'!E18/(1+$B18)^'DCF'!E16+'DCF'!F18/(1+$B18)^'DCF'!F16+'DCF'!G18/(1+$B18)^'DCF'!G16+(F$14*'Operating Forecast'!G11)/(1+$B18)^'DCF'!G15+'Source Inputs'!$C$43+'Source Inputs'!$C$15)/'Source Inputs'!$C$8,"INVALID")</x:f>
        <x:v>76.10442420168901</x:v>
      </x:c>
      <x:c r="G18" s="220" t="n">
        <x:f aca="0">IF(AND('Source Inputs'!$C$8&gt;0,$B18&gt;0),('DCF'!C18/(1+$B18)^'DCF'!C16+'DCF'!D18/(1+$B18)^'DCF'!D16+'DCF'!E18/(1+$B18)^'DCF'!E16+'DCF'!F18/(1+$B18)^'DCF'!F16+'DCF'!G18/(1+$B18)^'DCF'!G16+(G$14*'Operating Forecast'!G11)/(1+$B18)^'DCF'!G15+'Source Inputs'!$C$43+'Source Inputs'!$C$15)/'Source Inputs'!$C$8,"INVALID")</x:f>
        <x:v>79.72228803750679</x:v>
      </x:c>
      <x:c r="H18" s="90"/>
      <x:c r="I18" s="90"/>
      <x:c r="J18" s="90"/>
      <x:c r="K18" s="2"/>
      <x:c r="L18" s="2"/>
    </x:row>
    <x:row r="19" ht="21" hidden="0" customHeight="1">
      <x:c r="A19" s="90"/>
      <x:c r="B19" s="234" t="n">
        <x:f>'DCF'!C10+0.02</x:f>
        <x:v>0.11150656503898382</x:v>
      </x:c>
      <x:c r="C19" s="235" t="n">
        <x:f>IF(AND('Source Inputs'!$C$8&gt;0,$B19&gt;0),('DCF'!C18/(1+$B19)^'DCF'!C16+'DCF'!D18/(1+$B19)^'DCF'!D16+'DCF'!E18/(1+$B19)^'DCF'!E16+'DCF'!F18/(1+$B19)^'DCF'!F16+'DCF'!G18/(1+$B19)^'DCF'!G16+(C$14*'Operating Forecast'!G11)/(1+$B19)^'DCF'!G15+'Source Inputs'!$C$43+'Source Inputs'!$C$15)/'Source Inputs'!$C$8,"INVALID")</x:f>
        <x:v>63.562312452258176</x:v>
      </x:c>
      <x:c r="D19" s="235" t="n">
        <x:f>IF(AND('Source Inputs'!$C$8&gt;0,$B19&gt;0),('DCF'!C18/(1+$B19)^'DCF'!C16+'DCF'!D18/(1+$B19)^'DCF'!D16+'DCF'!E18/(1+$B19)^'DCF'!E16+'DCF'!F18/(1+$B19)^'DCF'!F16+'DCF'!G18/(1+$B19)^'DCF'!G16+(D$14*'Operating Forecast'!G11)/(1+$B19)^'DCF'!G15+'Source Inputs'!$C$43+'Source Inputs'!$C$15)/'Source Inputs'!$C$8,"INVALID")</x:f>
        <x:v>67.04145969955933</x:v>
      </x:c>
      <x:c r="E19" s="235" t="n">
        <x:f>IF(AND('Source Inputs'!$C$8&gt;0,$B19&gt;0),('DCF'!C18/(1+$B19)^'DCF'!C16+'DCF'!D18/(1+$B19)^'DCF'!D16+'DCF'!E18/(1+$B19)^'DCF'!E16+'DCF'!F18/(1+$B19)^'DCF'!F16+'DCF'!G18/(1+$B19)^'DCF'!G16+(E$14*'Operating Forecast'!G11)/(1+$B19)^'DCF'!G15+'Source Inputs'!$C$43+'Source Inputs'!$C$15)/'Source Inputs'!$C$8,"INVALID")</x:f>
        <x:v>70.52060694686051</x:v>
      </x:c>
      <x:c r="F19" s="235" t="n">
        <x:f>IF(AND('Source Inputs'!$C$8&gt;0,$B19&gt;0),('DCF'!C18/(1+$B19)^'DCF'!C16+'DCF'!D18/(1+$B19)^'DCF'!D16+'DCF'!E18/(1+$B19)^'DCF'!E16+'DCF'!F18/(1+$B19)^'DCF'!F16+'DCF'!G18/(1+$B19)^'DCF'!G16+(F$14*'Operating Forecast'!G11)/(1+$B19)^'DCF'!G15+'Source Inputs'!$C$43+'Source Inputs'!$C$15)/'Source Inputs'!$C$8,"INVALID")</x:f>
        <x:v>73.99975419416168</x:v>
      </x:c>
      <x:c r="G19" s="235" t="n">
        <x:f>IF(AND('Source Inputs'!$C$8&gt;0,$B19&gt;0),('DCF'!C18/(1+$B19)^'DCF'!C16+'DCF'!D18/(1+$B19)^'DCF'!D16+'DCF'!E18/(1+$B19)^'DCF'!E16+'DCF'!F18/(1+$B19)^'DCF'!F16+'DCF'!G18/(1+$B19)^'DCF'!G16+(G$14*'Operating Forecast'!G11)/(1+$B19)^'DCF'!G15+'Source Inputs'!$C$43+'Source Inputs'!$C$15)/'Source Inputs'!$C$8,"INVALID")</x:f>
        <x:v>77.47890144146284</x:v>
      </x:c>
      <x:c r="H19" s="90"/>
      <x:c r="I19" s="90"/>
      <x:c r="J19" s="90"/>
      <x:c r="K19" s="2"/>
      <x:c r="L19" s="2"/>
    </x:row>
    <x:row r="20" ht="21" hidden="0" customHeight="1">
      <x:c r="A20" s="90"/>
      <x:c r="B20" s="124"/>
      <x:c r="C20" s="90"/>
      <x:c r="D20" s="90"/>
      <x:c r="E20" s="90"/>
      <x:c r="F20" s="90"/>
      <x:c r="G20" s="90"/>
      <x:c r="H20" s="90"/>
      <x:c r="I20" s="90"/>
      <x:c r="J20" s="90"/>
      <x:c r="K20" s="2"/>
      <x:c r="L20" s="2"/>
    </x:row>
    <x:row r="21" ht="21" hidden="0" customHeight="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  <x:c r="K21" s="2"/>
      <x:c r="L21" s="2"/>
    </x:row>
    <x:row r="22" ht="21" hidden="0" customHeight="1">
      <x:c r="A22" s="90"/>
      <x:c r="B22" s="106" t="str">
        <x:v>Center cells match the DCF. Terminal growth changes terminal reinvestment as well as the valuation denominator.</x:v>
      </x:c>
      <x:c r="C22" s="106"/>
      <x:c r="D22" s="106"/>
      <x:c r="E22" s="106"/>
      <x:c r="F22" s="106"/>
      <x:c r="G22" s="106"/>
      <x:c r="H22" s="106"/>
      <x:c r="I22" s="106"/>
      <x:c r="J22" s="106"/>
      <x:c r="K22" s="2"/>
      <x:c r="L22" s="2"/>
    </x:row>
    <x:row r="23" ht="21" hidden="0" customHeight="1">
      <x:c r="A23" s="90"/>
      <x:c r="B23" s="106"/>
      <x:c r="C23" s="106"/>
      <x:c r="D23" s="106"/>
      <x:c r="E23" s="106"/>
      <x:c r="F23" s="106"/>
      <x:c r="G23" s="106"/>
      <x:c r="H23" s="106"/>
      <x:c r="I23" s="106"/>
      <x:c r="J23" s="106"/>
      <x:c r="K23" s="2"/>
      <x:c r="L23" s="2"/>
    </x:row>
    <x:row r="24" ht="21" hidden="0" customHeight="1">
      <x:c r="A24" s="90"/>
      <x:c r="B24" s="106"/>
      <x:c r="C24" s="106"/>
      <x:c r="D24" s="106"/>
      <x:c r="E24" s="106"/>
      <x:c r="F24" s="106"/>
      <x:c r="G24" s="106"/>
      <x:c r="H24" s="106"/>
      <x:c r="I24" s="106"/>
      <x:c r="J24" s="106"/>
      <x:c r="K24" s="2"/>
      <x:c r="L24" s="2"/>
    </x:row>
    <x:row r="25" ht="21" hidden="0" customHeight="1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  <x:c r="K25" s="2"/>
      <x:c r="L25" s="2"/>
    </x:row>
    <x:row r="26" ht="21" hidden="0" customHeight="1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  <x:c r="K26" s="2"/>
      <x:c r="L26" s="2"/>
    </x:row>
    <x:row r="27" ht="21" hidden="0" customHeight="1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2"/>
      <x:c r="L27" s="2"/>
    </x:row>
    <x:row r="28" ht="21" hidden="0" customHeight="1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2"/>
      <x:c r="L28" s="2"/>
    </x:row>
    <x:row r="29" ht="21" hidden="0" customHeight="1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2"/>
      <x:c r="L29" s="2"/>
    </x:row>
    <x:row r="30" ht="21" hidden="0" customHeight="1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2"/>
      <x:c r="L30" s="2"/>
    </x:row>
    <x:row r="31" ht="15" hidden="0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15" hidden="0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15" hidden="0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15" hidden="0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15" hidden="0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15" hidden="0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15" hidden="0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15" hidden="0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15" hidden="0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15" hidden="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15" hidden="0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15" hidden="0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15" hidden="0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15" hidden="0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15" hidden="0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15" hidden="0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15" hidden="0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15" hidden="0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15" hidden="0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15" hidden="0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15" hidden="0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15" hidden="0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 ht="15" hidden="0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 ht="15" hidden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 ht="15" hidden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 ht="15" hidden="0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</x:sheetData>
  <x:mergeCells>
    <x:mergeCell ref="A1:J1"/>
    <x:mergeCell ref="A2:J3"/>
    <x:mergeCell ref="B4:J4"/>
    <x:mergeCell ref="B13:J13"/>
    <x:mergeCell ref="B22:J24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6" hidden="0" customWidth="1"/>
    <x:col min="3" max="4" width="16" hidden="0" customWidth="1"/>
    <x:col min="5" max="5" width="17" hidden="0" customWidth="1"/>
    <x:col min="3" max="3" width="17" hidden="0" customWidth="1"/>
    <x:col min="4" max="4" width="17" hidden="0" customWidth="1"/>
    <x:col min="6" max="6" width="17" hidden="0" customWidth="1"/>
    <x:col min="7" max="7" width="17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2" hidden="0" customHeight="1">
      <x:c r="A1" s="133" t="str">
        <x:v>SOURCES &amp; MODEL ASSUMPTIONS</x:v>
      </x:c>
      <x:c r="B1" s="133"/>
      <x:c r="C1" s="133"/>
      <x:c r="D1" s="133"/>
      <x:c r="E1" s="133"/>
      <x:c r="F1" s="133"/>
      <x:c r="G1" s="133"/>
      <x:c r="H1" s="133"/>
      <x:c r="I1" s="92"/>
      <x:c r="J1" s="92"/>
    </x:row>
    <x:row r="2" ht="21" hidden="0" customHeight="1">
      <x:c r="A2" s="135" t="str">
        <x:v>MikeYe.com • September 8, 2026</x:v>
      </x:c>
      <x:c r="B2" s="135"/>
      <x:c r="C2" s="135"/>
      <x:c r="D2" s="135"/>
      <x:c r="E2" s="135"/>
      <x:c r="F2" s="135"/>
      <x:c r="G2" s="135"/>
      <x:c r="H2" s="135"/>
      <x:c r="I2" s="94"/>
      <x:c r="J2" s="94"/>
    </x:row>
    <x:row r="3" ht="21" hidden="0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</x:row>
    <x:row r="4" ht="21" hidden="0" customHeight="1">
      <x:c r="A4" s="110"/>
      <x:c r="B4" s="110"/>
      <x:c r="C4" s="110"/>
      <x:c r="D4" s="110"/>
      <x:c r="E4" s="110"/>
      <x:c r="F4" s="110"/>
      <x:c r="G4" s="110"/>
      <x:c r="H4" s="110"/>
      <x:c r="I4" s="90"/>
      <x:c r="J4" s="90"/>
    </x:row>
    <x:row r="5" ht="21" hidden="0" customHeight="1">
      <x:c r="A5" s="90"/>
      <x:c r="B5" s="240" t="str">
        <x:v>Current quarter: https://investor.ziffdavis.com/news/news-details/2026/Ziff-Davis-Reports-Second-Quarter-2026-Financial-Results/default.aspx</x:v>
      </x:c>
      <x:c r="C5" s="240"/>
      <x:c r="D5" s="240"/>
      <x:c r="E5" s="240"/>
      <x:c r="F5" s="106"/>
      <x:c r="G5" s="106"/>
      <x:c r="H5" s="106"/>
      <x:c r="I5" s="106"/>
      <x:c r="J5" s="106"/>
    </x:row>
    <x:row r="6" ht="21" hidden="0" customHeight="1">
      <x:c r="A6" s="90"/>
      <x:c r="B6" s="106"/>
      <x:c r="C6" s="106"/>
      <x:c r="D6" s="106"/>
      <x:c r="E6" s="262"/>
      <x:c r="F6" s="106"/>
      <x:c r="G6" s="106"/>
      <x:c r="H6" s="106"/>
      <x:c r="I6" s="106"/>
      <x:c r="J6" s="106"/>
    </x:row>
    <x:row r="7" ht="21" hidden="0" customHeight="1">
      <x:c r="A7" s="90"/>
      <x:c r="B7" s="106"/>
      <x:c r="C7" s="106"/>
      <x:c r="D7" s="106"/>
      <x:c r="E7" s="262"/>
      <x:c r="F7" s="106"/>
      <x:c r="G7" s="106"/>
      <x:c r="H7" s="106"/>
      <x:c r="I7" s="106"/>
      <x:c r="J7" s="106"/>
    </x:row>
    <x:row r="8" ht="21" hidden="0" customHeight="1">
      <x:c r="A8" s="90"/>
      <x:c r="B8" s="106"/>
      <x:c r="C8" s="106"/>
      <x:c r="D8" s="106"/>
      <x:c r="E8" s="262"/>
      <x:c r="F8" s="106"/>
      <x:c r="G8" s="106"/>
      <x:c r="H8" s="106"/>
      <x:c r="I8" s="106"/>
      <x:c r="J8" s="106"/>
    </x:row>
    <x:row r="9" ht="21" hidden="0" customHeight="1">
      <x:c r="A9" s="90"/>
      <x:c r="B9" s="90"/>
      <x:c r="C9" s="90"/>
      <x:c r="D9" s="90"/>
      <x:c r="E9" s="262"/>
      <x:c r="F9" s="90"/>
      <x:c r="G9" s="90"/>
      <x:c r="H9" s="90"/>
      <x:c r="I9" s="90"/>
      <x:c r="J9" s="90"/>
    </x:row>
    <x:row r="10" ht="21" hidden="0" customHeight="1">
      <x:c r="A10" s="90"/>
      <x:c r="B10" s="106" t="str">
        <x:v>Latest full year: https://investor.ziffdavis.com/news/news-details/2026/Ziff-Davis-Reports-Fourth-Quarter-and-Full-Year-2025-Financial-Results/default.aspx</x:v>
      </x:c>
      <x:c r="C10" s="106"/>
      <x:c r="D10" s="106"/>
      <x:c r="E10" s="262"/>
      <x:c r="F10" s="106"/>
      <x:c r="G10" s="106"/>
      <x:c r="H10" s="106"/>
      <x:c r="I10" s="106"/>
      <x:c r="J10" s="106"/>
    </x:row>
    <x:row r="11" ht="21" hidden="0" customHeight="1">
      <x:c r="A11" s="90"/>
      <x:c r="B11" s="106"/>
      <x:c r="C11" s="106"/>
      <x:c r="D11" s="106"/>
      <x:c r="E11" s="262"/>
      <x:c r="F11" s="106"/>
      <x:c r="G11" s="106"/>
      <x:c r="H11" s="106"/>
      <x:c r="I11" s="106"/>
      <x:c r="J11" s="106"/>
    </x:row>
    <x:row r="12" ht="21" hidden="0" customHeight="1">
      <x:c r="A12" s="90"/>
      <x:c r="B12" s="106"/>
      <x:c r="C12" s="106"/>
      <x:c r="D12" s="106"/>
      <x:c r="E12" s="262"/>
      <x:c r="F12" s="106"/>
      <x:c r="G12" s="106"/>
      <x:c r="H12" s="106"/>
      <x:c r="I12" s="106"/>
      <x:c r="J12" s="106"/>
    </x:row>
    <x:row r="13" ht="21" hidden="0" customHeight="1">
      <x:c r="A13" s="90"/>
      <x:c r="B13" s="106"/>
      <x:c r="C13" s="106"/>
      <x:c r="D13" s="106"/>
      <x:c r="E13" s="106"/>
      <x:c r="F13" s="106"/>
      <x:c r="G13" s="106"/>
      <x:c r="H13" s="106"/>
      <x:c r="I13" s="106"/>
      <x:c r="J13" s="106"/>
    </x:row>
    <x:row r="14" ht="21" hidden="0" customHeight="1">
      <x:c r="A14" s="110"/>
      <x:c r="B14" s="110"/>
      <x:c r="C14" s="110"/>
      <x:c r="D14" s="110"/>
      <x:c r="E14" s="110"/>
      <x:c r="F14" s="110"/>
      <x:c r="G14" s="110"/>
      <x:c r="H14" s="110"/>
      <x:c r="I14" s="90"/>
      <x:c r="J14" s="90"/>
    </x:row>
    <x:row r="15" ht="21" hidden="0" customHeight="1">
      <x:c r="A15" s="90"/>
      <x:c r="B15" s="240" t="str">
        <x:v>Financial history is supplied reference data. The current model uses the reported June 2026 balance sheet and continuing-operations earnings. Earlier cash-flow history includes the Connectivity business.</x:v>
      </x:c>
      <x:c r="C15" s="106"/>
      <x:c r="D15" s="106"/>
      <x:c r="E15" s="262"/>
      <x:c r="F15" s="106"/>
      <x:c r="G15" s="106"/>
      <x:c r="H15" s="106"/>
      <x:c r="I15" s="106"/>
      <x:c r="J15" s="106"/>
    </x:row>
    <x:row r="16" ht="21" hidden="0" customHeight="1">
      <x:c r="A16" s="90"/>
      <x:c r="B16" s="240"/>
      <x:c r="C16" s="106"/>
      <x:c r="D16" s="106"/>
      <x:c r="E16" s="262"/>
      <x:c r="F16" s="106"/>
      <x:c r="G16" s="106"/>
      <x:c r="H16" s="106"/>
      <x:c r="I16" s="106"/>
      <x:c r="J16" s="106"/>
    </x:row>
    <x:row r="17" ht="21" hidden="0" customHeight="1">
      <x:c r="A17" s="90"/>
      <x:c r="B17" s="240"/>
      <x:c r="C17" s="106"/>
      <x:c r="D17" s="106"/>
      <x:c r="E17" s="262"/>
      <x:c r="F17" s="106"/>
      <x:c r="G17" s="106"/>
      <x:c r="H17" s="106"/>
      <x:c r="I17" s="106"/>
      <x:c r="J17" s="106"/>
    </x:row>
    <x:row r="18" ht="21" hidden="0" customHeight="1">
      <x:c r="A18" s="90"/>
      <x:c r="B18" s="110"/>
      <x:c r="C18" s="90"/>
      <x:c r="D18" s="90"/>
      <x:c r="E18" s="262"/>
      <x:c r="F18" s="90"/>
      <x:c r="G18" s="90"/>
      <x:c r="H18" s="90"/>
      <x:c r="I18" s="90"/>
      <x:c r="J18" s="90"/>
    </x:row>
    <x:row r="19" ht="21" hidden="0" customHeight="1">
      <x:c r="A19" s="90"/>
      <x:c r="B19" s="110"/>
      <x:c r="C19" s="90"/>
      <x:c r="D19" s="90"/>
      <x:c r="E19" s="262"/>
      <x:c r="F19" s="90"/>
      <x:c r="G19" s="90"/>
      <x:c r="H19" s="90"/>
      <x:c r="I19" s="90"/>
      <x:c r="J19" s="90"/>
    </x:row>
    <x:row r="20" ht="21" hidden="0" customHeight="1">
      <x:c r="A20" s="90"/>
      <x:c r="B20" s="106" t="str">
        <x:v>Planning assumptions: FY2026 continuing revenue $1,188.9m, adjusted EBITDA margin 29.3%, SBC 3.5%, recurring transaction costs 1.5%, capex 8.5%, PP&amp;E depreciation 6.5%. All are editable by scenario.</x:v>
      </x:c>
      <x:c r="C20" s="106"/>
      <x:c r="D20" s="106"/>
      <x:c r="E20" s="106"/>
      <x:c r="F20" s="106"/>
      <x:c r="G20" s="106"/>
      <x:c r="H20" s="106"/>
      <x:c r="I20" s="106"/>
      <x:c r="J20" s="106"/>
    </x:row>
    <x:row r="21" ht="21" hidden="0" customHeight="1">
      <x:c r="A21" s="110"/>
      <x:c r="B21" s="240"/>
      <x:c r="C21" s="240"/>
      <x:c r="D21" s="240"/>
      <x:c r="E21" s="240"/>
      <x:c r="F21" s="240"/>
      <x:c r="G21" s="240"/>
      <x:c r="H21" s="240"/>
      <x:c r="I21" s="106"/>
      <x:c r="J21" s="106"/>
    </x:row>
    <x:row r="22" ht="21" hidden="0" customHeight="1">
      <x:c r="A22" s="90"/>
      <x:c r="B22" s="264"/>
      <x:c r="C22" s="264"/>
      <x:c r="D22" s="264"/>
      <x:c r="E22" s="264"/>
      <x:c r="F22" s="264"/>
      <x:c r="G22" s="264"/>
      <x:c r="H22" s="264"/>
      <x:c r="I22" s="106"/>
      <x:c r="J22" s="106"/>
    </x:row>
    <x:row r="23" ht="21" hidden="0" customHeight="1">
      <x:c r="A23" s="90"/>
      <x:c r="B23" s="124"/>
      <x:c r="C23" s="124"/>
      <x:c r="D23" s="124"/>
      <x:c r="E23" s="124"/>
      <x:c r="F23" s="124"/>
      <x:c r="G23" s="124"/>
      <x:c r="H23" s="124"/>
      <x:c r="I23" s="90"/>
      <x:c r="J23" s="90"/>
    </x:row>
    <x:row r="24" ht="21" hidden="0" customHeight="1">
      <x:c r="A24" s="90"/>
      <x:c r="B24" s="124"/>
      <x:c r="C24" s="124"/>
      <x:c r="D24" s="124"/>
      <x:c r="E24" s="124"/>
      <x:c r="F24" s="124"/>
      <x:c r="G24" s="124"/>
      <x:c r="H24" s="124"/>
      <x:c r="I24" s="90"/>
      <x:c r="J24" s="90"/>
    </x:row>
    <x:row r="25" ht="21" hidden="0" customHeight="1">
      <x:c r="A25" s="90"/>
      <x:c r="B25" s="264" t="str">
        <x:v>Capital assumptions: $55.70 share price, 34.3m diluted shares, $26.86m debt principal adjustment and $100m operating cash reserve. Cash of $1,606.112m includes net sale proceeds; $185.637m current taxes payable are reserved.</x:v>
      </x:c>
      <x:c r="C25" s="264"/>
      <x:c r="D25" s="264"/>
      <x:c r="E25" s="264"/>
      <x:c r="F25" s="264"/>
      <x:c r="G25" s="264"/>
      <x:c r="H25" s="264"/>
      <x:c r="I25" s="106"/>
      <x:c r="J25" s="106"/>
    </x:row>
    <x:row r="26" ht="21" hidden="0" customHeight="1">
      <x:c r="A26" s="90"/>
      <x:c r="B26" s="106"/>
      <x:c r="C26" s="106"/>
      <x:c r="D26" s="106"/>
      <x:c r="E26" s="106"/>
      <x:c r="F26" s="106"/>
      <x:c r="G26" s="106"/>
      <x:c r="H26" s="106"/>
      <x:c r="I26" s="106"/>
      <x:c r="J26" s="106"/>
    </x:row>
    <x:row r="27" ht="21" hidden="0" customHeight="1">
      <x:c r="A27" s="90"/>
      <x:c r="B27" s="106"/>
      <x:c r="C27" s="106"/>
      <x:c r="D27" s="106"/>
      <x:c r="E27" s="106"/>
      <x:c r="F27" s="106"/>
      <x:c r="G27" s="106"/>
      <x:c r="H27" s="106"/>
      <x:c r="I27" s="106"/>
      <x:c r="J27" s="106"/>
    </x:row>
    <x:row r="28" ht="21" hidden="0" customHeight="1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</x:row>
    <x:row r="29" ht="21" hidden="0" customHeight="1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</x:row>
    <x:row r="30" ht="21" hidden="0" customHeight="1">
      <x:c r="A30" s="90"/>
      <x:c r="B30" s="106" t="str">
        <x:v>Valuation conventions: finite acquired-intangible amortization, rent expensed, organic terminal growth, no buyer-created synergy premium and no separate investment or escrow value.</x:v>
      </x:c>
      <x:c r="C30" s="106"/>
      <x:c r="D30" s="106"/>
      <x:c r="E30" s="106"/>
      <x:c r="F30" s="106"/>
      <x:c r="G30" s="106"/>
      <x:c r="H30" s="106"/>
      <x:c r="I30" s="106"/>
      <x:c r="J30" s="106"/>
    </x:row>
    <x:row r="31" ht="21" hidden="0" customHeight="1">
      <x:c r="A31" s="90"/>
      <x:c r="B31" s="106"/>
      <x:c r="C31" s="106"/>
      <x:c r="D31" s="106"/>
      <x:c r="E31" s="106"/>
      <x:c r="F31" s="106"/>
      <x:c r="G31" s="106"/>
      <x:c r="H31" s="106"/>
      <x:c r="I31" s="106"/>
      <x:c r="J31" s="106"/>
    </x:row>
    <x:row r="32" ht="21" hidden="0" customHeight="1">
      <x:c r="A32" s="90"/>
      <x:c r="B32" s="106"/>
      <x:c r="C32" s="106"/>
      <x:c r="D32" s="106"/>
      <x:c r="E32" s="106"/>
      <x:c r="F32" s="106"/>
      <x:c r="G32" s="106"/>
      <x:c r="H32" s="106"/>
      <x:c r="I32" s="106"/>
      <x:c r="J32" s="106"/>
    </x:row>
    <x:row r="33" ht="21" hidden="0" customHeight="1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</x:row>
    <x:row r="34" ht="21" hidden="0" customHeight="1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</x:row>
    <x:row r="35" ht="21" hidden="0" customHeight="1">
      <x:c r="A35" s="90"/>
      <x:c r="B35" s="106" t="str">
        <x:v>Acquisition spending defaults to zero. An entered acquisition budget is charged to cash and DCF reinvestment without assuming acquired earnings. A transaction-specific acquisition case can replace that assumption.</x:v>
      </x:c>
      <x:c r="C35" s="106"/>
      <x:c r="D35" s="106"/>
      <x:c r="E35" s="106"/>
      <x:c r="F35" s="106"/>
      <x:c r="G35" s="106"/>
      <x:c r="H35" s="106"/>
      <x:c r="I35" s="106"/>
      <x:c r="J35" s="106"/>
    </x:row>
    <x:row r="36" ht="21" hidden="0" customHeight="1">
      <x:c r="A36" s="90"/>
      <x:c r="B36" s="106"/>
      <x:c r="C36" s="106"/>
      <x:c r="D36" s="106"/>
      <x:c r="E36" s="106"/>
      <x:c r="F36" s="106"/>
      <x:c r="G36" s="106"/>
      <x:c r="H36" s="106"/>
      <x:c r="I36" s="106"/>
      <x:c r="J36" s="106"/>
    </x:row>
    <x:row r="37" ht="21" hidden="0" customHeight="1">
      <x:c r="A37" s="90"/>
      <x:c r="B37" s="106"/>
      <x:c r="C37" s="106"/>
      <x:c r="D37" s="106"/>
      <x:c r="E37" s="106"/>
      <x:c r="F37" s="106"/>
      <x:c r="G37" s="106"/>
      <x:c r="H37" s="106"/>
      <x:c r="I37" s="106"/>
      <x:c r="J37" s="106"/>
    </x:row>
    <x:row r="38" ht="21" hidden="0" customHeight="1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</x:row>
    <x:row r="39" ht="21" hidden="0" customHeight="1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</x:row>
    <x:row r="40" ht="21" hidden="0" customHeight="1">
      <x:c r="A40" s="90"/>
      <x:c r="B40" s="106" t="str">
        <x:v>Price discipline: reconstruct repeatable cash earnings, test revenue and margin declines together, and set a buyer ceiling before negotiating.</x:v>
      </x:c>
      <x:c r="C40" s="106"/>
      <x:c r="D40" s="106"/>
      <x:c r="E40" s="106"/>
      <x:c r="F40" s="106"/>
      <x:c r="G40" s="106"/>
      <x:c r="H40" s="106"/>
      <x:c r="I40" s="106"/>
      <x:c r="J40" s="106"/>
    </x:row>
    <x:row r="41" ht="21" hidden="0" customHeight="1">
      <x:c r="A41" s="90"/>
      <x:c r="B41" s="106"/>
      <x:c r="C41" s="106"/>
      <x:c r="D41" s="106"/>
      <x:c r="E41" s="106"/>
      <x:c r="F41" s="106"/>
      <x:c r="G41" s="106"/>
      <x:c r="H41" s="106"/>
      <x:c r="I41" s="106"/>
      <x:c r="J41" s="106"/>
    </x:row>
    <x:row r="42" ht="21" hidden="0" customHeight="1">
      <x:c r="A42" s="90"/>
      <x:c r="B42" s="106"/>
      <x:c r="C42" s="106"/>
      <x:c r="D42" s="106"/>
      <x:c r="E42" s="106"/>
      <x:c r="F42" s="106"/>
      <x:c r="G42" s="106"/>
      <x:c r="H42" s="106"/>
      <x:c r="I42" s="106"/>
      <x:c r="J42" s="106"/>
    </x:row>
    <x:row r="43" ht="21" hidden="0" customHeight="1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</x:row>
    <x:row r="44" ht="21" hidden="0" customHeight="1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</x:row>
    <x:row r="45" ht="21" hidden="0" customHeight="1">
      <x:c r="A45" s="90"/>
      <x:c r="B45" s="106" t="str">
        <x:v>FY2021–FY2022 operating income: https://s205.q4cdn.com/689425761/files/doc_financials/2022/q4/Ziff-Davis-Reports-Fourth-Quarter-and-Year-End-2022-Results.pdf</x:v>
      </x:c>
      <x:c r="C45" s="106"/>
      <x:c r="D45" s="106"/>
      <x:c r="E45" s="106"/>
      <x:c r="F45" s="106"/>
      <x:c r="G45" s="106"/>
      <x:c r="H45" s="106"/>
      <x:c r="I45" s="106"/>
      <x:c r="J45" s="106"/>
    </x:row>
    <x:row r="46" ht="21" hidden="0" customHeight="1">
      <x:c r="A46" s="90"/>
      <x:c r="B46" s="106"/>
      <x:c r="C46" s="106"/>
      <x:c r="D46" s="106"/>
      <x:c r="E46" s="106"/>
      <x:c r="F46" s="106"/>
      <x:c r="G46" s="106"/>
      <x:c r="H46" s="106"/>
      <x:c r="I46" s="106"/>
      <x:c r="J46" s="106"/>
    </x:row>
    <x:row r="47" ht="21" hidden="0" customHeight="1">
      <x:c r="A47" s="90"/>
      <x:c r="B47" s="106"/>
      <x:c r="C47" s="106"/>
      <x:c r="D47" s="106"/>
      <x:c r="E47" s="106"/>
      <x:c r="F47" s="106"/>
      <x:c r="G47" s="106"/>
      <x:c r="H47" s="106"/>
      <x:c r="I47" s="106"/>
      <x:c r="J47" s="106"/>
    </x:row>
    <x:row r="48" ht="21" hidden="0" customHeight="1">
      <x:c r="A48" s="90"/>
      <x:c r="B48" s="106"/>
      <x:c r="C48" s="106"/>
      <x:c r="D48" s="106"/>
      <x:c r="E48" s="106"/>
      <x:c r="F48" s="106"/>
      <x:c r="G48" s="106"/>
      <x:c r="H48" s="106"/>
      <x:c r="I48" s="106"/>
      <x:c r="J48" s="106"/>
    </x:row>
    <x:row r="49" ht="21" hidden="0" customHeight="1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</x:row>
    <x:row r="50" ht="21" hidden="0" customHeight="1">
      <x:c r="A50" s="90"/>
      <x:c r="B50" s="106" t="str">
        <x:v>FY2023 operating income: https://www.sec.gov/Archives/edgar/data/1084048/000108404824000008/zd20231231pressrelease.htm</x:v>
      </x:c>
      <x:c r="C50" s="106"/>
      <x:c r="D50" s="106"/>
      <x:c r="E50" s="106"/>
      <x:c r="F50" s="106"/>
      <x:c r="G50" s="106"/>
      <x:c r="H50" s="106"/>
      <x:c r="I50" s="106"/>
      <x:c r="J50" s="106"/>
    </x:row>
    <x:row r="51" ht="21" customHeight="1">
      <x:c r="A51" s="90"/>
      <x:c r="B51" s="106"/>
      <x:c r="C51" s="106"/>
      <x:c r="D51" s="106"/>
      <x:c r="E51" s="106"/>
      <x:c r="F51" s="106"/>
      <x:c r="G51" s="106"/>
      <x:c r="H51" s="106"/>
      <x:c r="I51" s="106"/>
      <x:c r="J51" s="106"/>
    </x:row>
    <x:row r="52" ht="21" customHeight="1">
      <x:c r="A52" s="90"/>
      <x:c r="B52" s="106"/>
      <x:c r="C52" s="106"/>
      <x:c r="D52" s="106"/>
      <x:c r="E52" s="106"/>
      <x:c r="F52" s="106"/>
      <x:c r="G52" s="106"/>
      <x:c r="H52" s="106"/>
      <x:c r="I52" s="106"/>
      <x:c r="J52" s="106"/>
    </x:row>
    <x:row r="53" ht="21" customHeight="1">
      <x:c r="A53" s="90"/>
      <x:c r="B53" s="106"/>
      <x:c r="C53" s="106"/>
      <x:c r="D53" s="106"/>
      <x:c r="E53" s="106"/>
      <x:c r="F53" s="106"/>
      <x:c r="G53" s="106"/>
      <x:c r="H53" s="106"/>
      <x:c r="I53" s="106"/>
      <x:c r="J53" s="106"/>
    </x:row>
    <x:row r="54" ht="21" customHeight="1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</x:row>
  </x:sheetData>
  <x:mergeCells>
    <x:mergeCell ref="A1:J1"/>
    <x:mergeCell ref="A2:J3"/>
    <x:mergeCell ref="B5:J8"/>
    <x:mergeCell ref="B10:J13"/>
    <x:mergeCell ref="B15:J17"/>
    <x:mergeCell ref="B20:J22"/>
    <x:mergeCell ref="B25:J27"/>
    <x:mergeCell ref="B30:J32"/>
    <x:mergeCell ref="B35:J37"/>
    <x:mergeCell ref="B40:J42"/>
    <x:mergeCell ref="B45:J48"/>
    <x:mergeCell ref="B50:J53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6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2" hidden="0" customHeight="1">
      <x:c r="A1" s="133" t="str">
        <x:v>CHECKS | FINANCIAL INTEGRITY</x:v>
      </x:c>
      <x:c r="B1" s="133"/>
      <x:c r="C1" s="133"/>
      <x:c r="D1" s="133"/>
      <x:c r="E1" s="133"/>
      <x:c r="F1" s="133"/>
      <x:c r="G1" s="133"/>
      <x:c r="H1" s="133"/>
      <x:c r="I1" s="92"/>
      <x:c r="J1" s="92"/>
    </x:row>
    <x:row r="2" ht="21" hidden="0" customHeight="1">
      <x:c r="A2" s="135" t="str">
        <x:v>Calculation checks apply to every scenario. Assumptions are shown on their own tabs.</x:v>
      </x:c>
      <x:c r="B2" s="135"/>
      <x:c r="C2" s="135"/>
      <x:c r="D2" s="135"/>
      <x:c r="E2" s="135"/>
      <x:c r="F2" s="135"/>
      <x:c r="G2" s="135"/>
      <x:c r="H2" s="135"/>
      <x:c r="I2" s="94"/>
      <x:c r="J2" s="94"/>
    </x:row>
    <x:row r="3" ht="21" hidden="0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</x:row>
    <x:row r="4" ht="21" hidden="0" customHeight="1">
      <x:c r="A4" s="90"/>
      <x:c r="B4" s="110"/>
      <x:c r="C4" s="113"/>
      <x:c r="D4" s="113"/>
      <x:c r="E4" s="90"/>
      <x:c r="F4" s="90"/>
      <x:c r="G4" s="90"/>
      <x:c r="H4" s="90"/>
      <x:c r="I4" s="90"/>
      <x:c r="J4" s="90"/>
    </x:row>
    <x:row r="5" ht="21" hidden="0" customHeight="1">
      <x:c r="A5" s="90"/>
      <x:c r="B5" s="90" t="str">
        <x:v>Check</x:v>
      </x:c>
      <x:c r="C5" s="127" t="str">
        <x:v>Difference / value</x:v>
      </x:c>
      <x:c r="D5" s="113" t="str">
        <x:v>Expected</x:v>
      </x:c>
      <x:c r="E5" s="90" t="str">
        <x:v>Tolerance</x:v>
      </x:c>
      <x:c r="F5" s="90" t="str">
        <x:v>Status</x:v>
      </x:c>
      <x:c r="G5" s="90"/>
      <x:c r="H5" s="90"/>
      <x:c r="I5" s="90"/>
      <x:c r="J5" s="90"/>
    </x:row>
    <x:row r="6" ht="21" hidden="0" customHeight="1">
      <x:c r="A6" s="90"/>
      <x:c r="B6" s="90" t="str">
        <x:v>Opening assets tie</x:v>
      </x:c>
      <x:c r="C6" s="195" t="n">
        <x:f aca="0">'Source Inputs'!$C$44-'Source Inputs'!$C$24</x:f>
        <x:v>0</x:v>
      </x:c>
      <x:c r="D6" s="140" t="n">
        <x:v>0</x:v>
      </x:c>
      <x:c r="E6" s="286" t="n">
        <x:v>0.0001</x:v>
      </x:c>
      <x:c r="F6" s="90" t="str">
        <x:f>IF(ABS(C6)&lt;=E6,"PASS","FAIL")</x:f>
        <x:v>PASS</x:v>
      </x:c>
      <x:c r="G6" s="90"/>
      <x:c r="H6" s="90"/>
      <x:c r="I6" s="90"/>
      <x:c r="J6" s="90"/>
    </x:row>
    <x:row r="7" ht="21" hidden="0" customHeight="1">
      <x:c r="A7" s="90"/>
      <x:c r="B7" s="90" t="str">
        <x:v>Opening liabilities and equity tie</x:v>
      </x:c>
      <x:c r="C7" s="195" t="n">
        <x:f aca="0">'Source Inputs'!$C$45-'Source Inputs'!$C$24</x:f>
        <x:v>0</x:v>
      </x:c>
      <x:c r="D7" s="140" t="n">
        <x:v>0</x:v>
      </x:c>
      <x:c r="E7" s="286" t="n">
        <x:v>0.0001</x:v>
      </x:c>
      <x:c r="F7" s="90" t="str">
        <x:f>IF(ABS(C7)&lt;=E7,"PASS","FAIL")</x:f>
        <x:v>PASS</x:v>
      </x:c>
      <x:c r="G7" s="90"/>
      <x:c r="H7" s="90"/>
      <x:c r="I7" s="90"/>
      <x:c r="J7" s="90"/>
    </x:row>
    <x:row r="8" ht="21" hidden="0" customHeight="1">
      <x:c r="A8" s="90"/>
      <x:c r="B8" s="90" t="str">
        <x:v>All forecast balance sheets tie</x:v>
      </x:c>
      <x:c r="C8" s="195" t="n">
        <x:f aca="0">MAX(ABS('Operating Forecast'!C63),ABS('Operating Forecast'!D63),ABS('Operating Forecast'!E63),ABS('Operating Forecast'!F63),ABS('Operating Forecast'!G63))</x:f>
        <x:v>9.094947017729282e-13</x:v>
      </x:c>
      <x:c r="D8" s="140" t="n">
        <x:v>0</x:v>
      </x:c>
      <x:c r="E8" s="286" t="n">
        <x:v>0.0001</x:v>
      </x:c>
      <x:c r="F8" s="90" t="str">
        <x:f>IF(ABS(C8)&lt;=E8,"PASS","FAIL")</x:f>
        <x:v>PASS</x:v>
      </x:c>
      <x:c r="G8" s="90"/>
      <x:c r="H8" s="90"/>
      <x:c r="I8" s="90"/>
      <x:c r="J8" s="90"/>
    </x:row>
    <x:row r="9" ht="21" hidden="0" customHeight="1">
      <x:c r="A9" s="90"/>
      <x:c r="B9" s="90" t="str">
        <x:v>Debt carries through every year</x:v>
      </x:c>
      <x:c r="C9" s="195" t="n">
        <x:f aca="0">MAX(ABS('Operating Forecast'!C37-'Source Inputs'!$C$40-'Operating Forecast'!C36),ABS('Operating Forecast'!D37-'Operating Forecast'!C37-'Operating Forecast'!D36),ABS('Operating Forecast'!E37-'Operating Forecast'!D37-'Operating Forecast'!E36),ABS('Operating Forecast'!F37-'Operating Forecast'!E37-'Operating Forecast'!F36),ABS('Operating Forecast'!G37-'Operating Forecast'!F37-'Operating Forecast'!G36))</x:f>
        <x:v>0</x:v>
      </x:c>
      <x:c r="D9" s="140" t="n">
        <x:v>0</x:v>
      </x:c>
      <x:c r="E9" s="286" t="n">
        <x:v>0.0001</x:v>
      </x:c>
      <x:c r="F9" s="90" t="str">
        <x:f>IF(ABS(C9)&lt;=E9,"PASS","FAIL")</x:f>
        <x:v>PASS</x:v>
      </x:c>
      <x:c r="G9" s="90"/>
      <x:c r="H9" s="90"/>
      <x:c r="I9" s="90"/>
      <x:c r="J9" s="90"/>
    </x:row>
    <x:row r="10" ht="21" hidden="0" customHeight="1">
      <x:c r="A10" s="90"/>
      <x:c r="B10" s="90" t="str">
        <x:v>Cash roll-forward ties</x:v>
      </x:c>
      <x:c r="C10" s="195" t="n">
        <x:f aca="0">MAX(ABS('Operating Forecast'!C45-'Operating Forecast'!C38-'Operating Forecast'!C39-'Operating Forecast'!C40-'Operating Forecast'!C41-'Operating Forecast'!C42-'Operating Forecast'!C36-'Operating Forecast'!C44),ABS('Operating Forecast'!D45-'Operating Forecast'!D38-'Operating Forecast'!D39-'Operating Forecast'!D40-'Operating Forecast'!D41-'Operating Forecast'!D42-'Operating Forecast'!D36-'Operating Forecast'!D44),ABS('Operating Forecast'!E45-'Operating Forecast'!E38-'Operating Forecast'!E39-'Operating Forecast'!E40-'Operating Forecast'!E41-'Operating Forecast'!E42-'Operating Forecast'!E36-'Operating Forecast'!E44),ABS('Operating Forecast'!F45-'Operating Forecast'!F38-'Operating Forecast'!F39-'Operating Forecast'!F40-'Operating Forecast'!F41-'Operating Forecast'!F42-'Operating Forecast'!F36-'Operating Forecast'!F44),ABS('Operating Forecast'!G45-'Operating Forecast'!G38-'Operating Forecast'!G39-'Operating Forecast'!G40-'Operating Forecast'!G41-'Operating Forecast'!G42-'Operating Forecast'!G36-'Operating Forecast'!G44))</x:f>
        <x:v>1.1368683772161603e-13</x:v>
      </x:c>
      <x:c r="D10" s="140" t="n">
        <x:v>0</x:v>
      </x:c>
      <x:c r="E10" s="286" t="n">
        <x:v>0.0001</x:v>
      </x:c>
      <x:c r="F10" s="90" t="str">
        <x:f>IF(ABS(C10)&lt;=E10,"PASS","FAIL")</x:f>
        <x:v>PASS</x:v>
      </x:c>
      <x:c r="G10" s="90"/>
      <x:c r="H10" s="90"/>
      <x:c r="I10" s="90"/>
      <x:c r="J10" s="90"/>
    </x:row>
    <x:row r="11" ht="21" hidden="0" customHeight="1">
      <x:c r="A11" s="90"/>
      <x:c r="B11" s="90" t="str">
        <x:v>Cash stays above operating reserve</x:v>
      </x:c>
      <x:c r="C11" s="195" t="n">
        <x:f aca="0">MAX('Operating Forecast'!C74,'Operating Forecast'!D74,'Operating Forecast'!E74,'Operating Forecast'!F74,'Operating Forecast'!G74)</x:f>
        <x:v>0</x:v>
      </x:c>
      <x:c r="D11" s="140" t="n">
        <x:v>0</x:v>
      </x:c>
      <x:c r="E11" s="286" t="n">
        <x:v>0.0001</x:v>
      </x:c>
      <x:c r="F11" s="90" t="str">
        <x:f>IF(ABS(C11)&lt;=E11,"PASS","FAIL")</x:f>
        <x:v>PASS</x:v>
      </x:c>
      <x:c r="G11" s="90"/>
      <x:c r="H11" s="90"/>
      <x:c r="I11" s="90"/>
      <x:c r="J11" s="90"/>
    </x:row>
    <x:row r="12" ht="21" hidden="0" customHeight="1">
      <x:c r="A12" s="90"/>
      <x:c r="B12" s="90" t="str">
        <x:v>WACC exceeds terminal growth</x:v>
      </x:c>
      <x:c r="C12" s="195" t="n">
        <x:f aca="0">'DCF'!C10-'DCF'!C11</x:f>
        <x:v>0.07150656503898381</x:v>
      </x:c>
      <x:c r="D12" s="140" t="n">
        <x:v>0</x:v>
      </x:c>
      <x:c r="E12" s="286" t="n">
        <x:v>0.0001</x:v>
      </x:c>
      <x:c r="F12" s="90" t="str">
        <x:f>IF(C12&gt;0,"PASS","FAIL")</x:f>
        <x:v>PASS</x:v>
      </x:c>
      <x:c r="G12" s="90"/>
      <x:c r="H12" s="90"/>
      <x:c r="I12" s="90"/>
      <x:c r="J12" s="90"/>
    </x:row>
    <x:row r="13" ht="21" hidden="0" customHeight="1">
      <x:c r="A13" s="90"/>
      <x:c r="B13" s="90" t="str">
        <x:v>Positive diluted shares</x:v>
      </x:c>
      <x:c r="C13" s="195" t="n">
        <x:f aca="0">MIN('Source Inputs'!$C$8,'Operating Forecast'!C25,'Operating Forecast'!D25,'Operating Forecast'!E25,'Operating Forecast'!F25,'Operating Forecast'!G25)</x:f>
        <x:v>25.702464180566718</x:v>
      </x:c>
      <x:c r="D13" s="140" t="n">
        <x:v>0</x:v>
      </x:c>
      <x:c r="E13" s="286" t="n">
        <x:v>0.0001</x:v>
      </x:c>
      <x:c r="F13" s="90" t="str">
        <x:f>IF(C13&gt;0,"PASS","FAIL")</x:f>
        <x:v>PASS</x:v>
      </x:c>
      <x:c r="G13" s="90"/>
      <x:c r="H13" s="90"/>
      <x:c r="I13" s="90"/>
      <x:c r="J13" s="90"/>
    </x:row>
    <x:row r="14" ht="21" hidden="0" customHeight="1">
      <x:c r="A14" s="90"/>
      <x:c r="B14" s="90" t="str">
        <x:v>Buyer debt roll-forward</x:v>
      </x:c>
      <x:c r="C14" s="199" t="n">
        <x:f>MAX(ABS('Acquisition Returns'!C28-('Acquisition Returns'!C23-'Acquisition Returns'!C26+'Acquisition Returns'!C27)),ABS('Acquisition Returns'!D28-('Acquisition Returns'!D23-'Acquisition Returns'!D26+'Acquisition Returns'!D27)),ABS('Acquisition Returns'!E28-('Acquisition Returns'!E23-'Acquisition Returns'!E26+'Acquisition Returns'!E27)),ABS('Acquisition Returns'!F28-('Acquisition Returns'!F23-'Acquisition Returns'!F26+'Acquisition Returns'!F27)),ABS('Acquisition Returns'!G28-('Acquisition Returns'!G23-'Acquisition Returns'!G26+'Acquisition Returns'!G27)))</x:f>
        <x:v>0</x:v>
      </x:c>
      <x:c r="D14" s="100" t="n">
        <x:v>0</x:v>
      </x:c>
      <x:c r="E14" s="286" t="n">
        <x:v>0.0001</x:v>
      </x:c>
      <x:c r="F14" s="90" t="str">
        <x:f>IF(ABS(C14)&lt;=E14,"PASS","FAIL")</x:f>
        <x:v>PASS</x:v>
      </x:c>
      <x:c r="G14" s="90"/>
      <x:c r="H14" s="90"/>
      <x:c r="I14" s="90"/>
      <x:c r="J14" s="90"/>
    </x:row>
    <x:row r="15" ht="21" hidden="0" customHeight="1">
      <x:c r="A15" s="90"/>
      <x:c r="B15" s="110" t="str">
        <x:v>No additional acquisition financing</x:v>
      </x:c>
      <x:c r="C15" s="199" t="n">
        <x:f>'Acquisition Returns'!C48</x:f>
        <x:v>0</x:v>
      </x:c>
      <x:c r="D15" s="140" t="n">
        <x:v>0</x:v>
      </x:c>
      <x:c r="E15" s="286" t="n">
        <x:v>0.0001</x:v>
      </x:c>
      <x:c r="F15" s="90" t="str">
        <x:f>IF(ABS(C15)&lt;=E15,"PASS","FAIL")</x:f>
        <x:v>PASS</x:v>
      </x:c>
      <x:c r="G15" s="90"/>
      <x:c r="H15" s="90"/>
      <x:c r="I15" s="90"/>
      <x:c r="J15" s="90"/>
    </x:row>
    <x:row r="16" ht="21" hidden="0" customHeight="1">
      <x:c r="A16" s="90"/>
      <x:c r="B16" s="90" t="str">
        <x:v>Positive sponsor equity</x:v>
      </x:c>
      <x:c r="C16" s="199" t="n">
        <x:f>'Acquisition Returns'!C17</x:f>
        <x:v>433.8410999999994</x:v>
      </x:c>
      <x:c r="D16" s="100" t="n">
        <x:v>0</x:v>
      </x:c>
      <x:c r="E16" s="286" t="n">
        <x:v>0.0001</x:v>
      </x:c>
      <x:c r="F16" s="90" t="str">
        <x:f>IF(C16&gt;0,"PASS","FAIL")</x:f>
        <x:v>PASS</x:v>
      </x:c>
      <x:c r="G16" s="90"/>
      <x:c r="H16" s="90"/>
      <x:c r="I16" s="90"/>
      <x:c r="J16" s="90"/>
    </x:row>
    <x:row r="17" ht="21" hidden="0" customHeight="1">
      <x:c r="A17" s="90"/>
      <x:c r="B17" s="124" t="str">
        <x:v>Fee-inclusive buyer ceiling ties</x:v>
      </x:c>
      <x:c r="C17" s="199" t="n">
        <x:f>'Acquisition Returns'!C45*(1+'Acquisition Returns'!C16)-'Acquisition Returns'!C15-'Acquisition Returns'!C44</x:f>
        <x:v>2.2737367544323206e-13</x:v>
      </x:c>
      <x:c r="D17" s="100" t="n">
        <x:v>0</x:v>
      </x:c>
      <x:c r="E17" s="286" t="n">
        <x:v>0.0001</x:v>
      </x:c>
      <x:c r="F17" s="90" t="str">
        <x:f>IF(ABS(C17)&lt;=E17,"PASS","FAIL")</x:f>
        <x:v>PASS</x:v>
      </x:c>
      <x:c r="G17" s="90"/>
      <x:c r="H17" s="90"/>
      <x:c r="I17" s="90"/>
      <x:c r="J17" s="90"/>
    </x:row>
    <x:row r="18" ht="21" hidden="0" customHeight="1">
      <x:c r="A18" s="90"/>
      <x:c r="B18" s="124" t="str">
        <x:v>DCF growth sensitivity center ties</x:v>
      </x:c>
      <x:c r="C18" s="199" t="n">
        <x:f>'Sensitivities'!E8-'DCF'!C49</x:f>
        <x:v>0</x:v>
      </x:c>
      <x:c r="D18" s="100" t="n">
        <x:v>0</x:v>
      </x:c>
      <x:c r="E18" s="286" t="n">
        <x:v>0.0001</x:v>
      </x:c>
      <x:c r="F18" s="90" t="str">
        <x:f>IF(ABS(C18)&lt;=E18,"PASS","FAIL")</x:f>
        <x:v>PASS</x:v>
      </x:c>
      <x:c r="G18" s="90"/>
      <x:c r="H18" s="90"/>
      <x:c r="I18" s="90"/>
      <x:c r="J18" s="90"/>
    </x:row>
    <x:row r="19" ht="21" hidden="0" customHeight="1">
      <x:c r="A19" s="90"/>
      <x:c r="B19" s="124" t="str">
        <x:v>DCF exit sensitivity center ties</x:v>
      </x:c>
      <x:c r="C19" s="199" t="n">
        <x:f>'Sensitivities'!E17-'DCF'!D49</x:f>
        <x:v>0</x:v>
      </x:c>
      <x:c r="D19" s="100" t="n">
        <x:v>0</x:v>
      </x:c>
      <x:c r="E19" s="286" t="n">
        <x:v>0.0001</x:v>
      </x:c>
      <x:c r="F19" s="90" t="str">
        <x:f>IF(ABS(C19)&lt;=E19,"PASS","FAIL")</x:f>
        <x:v>PASS</x:v>
      </x:c>
      <x:c r="G19" s="90"/>
      <x:c r="H19" s="90"/>
      <x:c r="I19" s="90"/>
      <x:c r="J19" s="90"/>
    </x:row>
    <x:row r="20" ht="21" hidden="0" customHeight="1">
      <x:c r="A20" s="90"/>
      <x:c r="B20" s="124" t="str">
        <x:v>Higher WACC lowers value</x:v>
      </x:c>
      <x:c r="C20" s="199" t="n">
        <x:f>'Sensitivities'!E6-'Sensitivities'!E10</x:f>
        <x:v>34.9018746664375</x:v>
      </x:c>
      <x:c r="D20" s="100" t="n">
        <x:v>0</x:v>
      </x:c>
      <x:c r="E20" s="286" t="n">
        <x:v>0.0001</x:v>
      </x:c>
      <x:c r="F20" s="90" t="str">
        <x:f>IF(C20&gt;0,"PASS","FAIL")</x:f>
        <x:v>PASS</x:v>
      </x:c>
      <x:c r="G20" s="90"/>
      <x:c r="H20" s="90"/>
      <x:c r="I20" s="90"/>
      <x:c r="J20" s="90"/>
    </x:row>
    <x:row r="21" ht="21" hidden="0" customHeight="1">
      <x:c r="A21" s="90"/>
      <x:c r="B21" s="90" t="str">
        <x:v>Selected multiple bounds ordered</x:v>
      </x:c>
      <x:c r="C21" s="199" t="n">
        <x:f>'Assumptions'!$C$38-'Assumptions'!$C$37</x:f>
        <x:v>2.5</x:v>
      </x:c>
      <x:c r="D21" s="100" t="n">
        <x:v>0</x:v>
      </x:c>
      <x:c r="E21" s="286" t="n">
        <x:v>0.0001</x:v>
      </x:c>
      <x:c r="F21" s="90" t="str">
        <x:f>IF(C21&gt;=0,"PASS","FAIL")</x:f>
        <x:v>PASS</x:v>
      </x:c>
      <x:c r="G21" s="90"/>
      <x:c r="H21" s="90"/>
      <x:c r="I21" s="90"/>
      <x:c r="J21" s="90"/>
    </x:row>
    <x:row r="22" ht="21" hidden="0" customHeight="1">
      <x:c r="A22" s="90"/>
      <x:c r="B22" s="90" t="str">
        <x:v>First period excludes realized H1</x:v>
      </x:c>
      <x:c r="C22" s="199" t="n">
        <x:f>'Operating Forecast'!C9-'Source Inputs'!$C$25-'Operating Forecast'!C10</x:f>
        <x:v>0</x:v>
      </x:c>
      <x:c r="D22" s="100" t="n">
        <x:v>0</x:v>
      </x:c>
      <x:c r="E22" s="286" t="n">
        <x:v>0.0001</x:v>
      </x:c>
      <x:c r="F22" s="90" t="str">
        <x:f>IF(ABS(C22)&lt;=E22,"PASS","FAIL")</x:f>
        <x:v>PASS</x:v>
      </x:c>
      <x:c r="G22" s="90"/>
      <x:c r="H22" s="90"/>
      <x:c r="I22" s="90"/>
      <x:c r="J22" s="90"/>
    </x:row>
    <x:row r="23" ht="21" hidden="0" customHeight="1">
      <x:c r="A23" s="90"/>
      <x:c r="B23" s="90" t="str">
        <x:v>Company EBITDA perimeter ties</x:v>
      </x:c>
      <x:c r="C23" s="199" t="n">
        <x:f>'Operating Forecast'!C11+'Source Inputs'!$C$26-'Assumptions'!$F$10*'Assumptions'!$F$12</x:f>
        <x:v>0</x:v>
      </x:c>
      <x:c r="D23" s="100" t="n">
        <x:v>0</x:v>
      </x:c>
      <x:c r="E23" s="286" t="n">
        <x:v>0.0001</x:v>
      </x:c>
      <x:c r="F23" s="90" t="str">
        <x:f>IF(ABS(C23)&lt;=E23,"PASS","FAIL")</x:f>
        <x:v>PASS</x:v>
      </x:c>
      <x:c r="G23" s="90"/>
      <x:c r="H23" s="90"/>
      <x:c r="I23" s="90"/>
      <x:c r="J23" s="90"/>
    </x:row>
    <x:row r="24" ht="21" hidden="0" customHeight="1">
      <x:c r="A24" s="90"/>
      <x:c r="B24" s="90" t="str">
        <x:v>Segment revenue ties</x:v>
      </x:c>
      <x:c r="C24" s="199" t="n">
        <x:f>'Sum-of-the-Parts'!C12-286.738</x:f>
        <x:v>0</x:v>
      </x:c>
      <x:c r="D24" s="100" t="n">
        <x:v>0</x:v>
      </x:c>
      <x:c r="E24" s="286" t="n">
        <x:v>0.0001</x:v>
      </x:c>
      <x:c r="F24" s="90" t="str">
        <x:f>IF(ABS(C24)&lt;=E24,"PASS","FAIL")</x:f>
        <x:v>PASS</x:v>
      </x:c>
      <x:c r="G24" s="90"/>
      <x:c r="H24" s="90"/>
      <x:c r="I24" s="90"/>
      <x:c r="J24" s="90"/>
    </x:row>
    <x:row r="25" ht="21" hidden="0" customHeight="1">
      <x:c r="A25" s="90"/>
      <x:c r="B25" s="90" t="str">
        <x:v>Segment EBITDA ties</x:v>
      </x:c>
      <x:c r="C25" s="199" t="n">
        <x:f>'Sum-of-the-Parts'!D12-76.844</x:f>
        <x:v>0</x:v>
      </x:c>
      <x:c r="D25" s="100" t="n">
        <x:v>0</x:v>
      </x:c>
      <x:c r="E25" s="286" t="n">
        <x:v>0.0001</x:v>
      </x:c>
      <x:c r="F25" s="90" t="str">
        <x:f>IF(ABS(C25)&lt;=E25,"PASS","FAIL")</x:f>
        <x:v>PASS</x:v>
      </x:c>
      <x:c r="G25" s="90"/>
      <x:c r="H25" s="90"/>
      <x:c r="I25" s="90"/>
      <x:c r="J25" s="90"/>
    </x:row>
    <x:row r="26" ht="21" hidden="0" customHeight="1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</x:row>
    <x:row r="27" ht="21" hidden="0" customHeight="1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</x:row>
    <x:row r="28" ht="21" hidden="0" customHeight="1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</x:row>
    <x:row r="29" ht="21" hidden="0" customHeight="1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</x:row>
    <x:row r="30" ht="21" hidden="0" customHeight="1">
      <x:c r="A30" s="90"/>
      <x:c r="B30" s="90" t="str">
        <x:v>Calculation status</x:v>
      </x:c>
      <x:c r="C30" s="90"/>
      <x:c r="D30" s="90"/>
      <x:c r="E30" s="90"/>
      <x:c r="F30" s="90" t="str">
        <x:f>IF(SUMPRODUCT(--ISERROR(F6:F25))+COUNTIF(F6:F25,"FAIL")=0,"PASS","FAIL")</x:f>
        <x:v>PASS</x:v>
      </x:c>
      <x:c r="G30" s="90"/>
      <x:c r="H30" s="90"/>
      <x:c r="I30" s="90"/>
      <x:c r="J30" s="90"/>
    </x:row>
    <x:row r="31" ht="21" hidden="0" customHeight="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</x:row>
    <x:row r="32" ht="21" hidden="0" customHeight="1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</x:row>
    <x:row r="33" ht="21" hidden="0" customHeight="1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</x:row>
    <x:row r="34" ht="21" hidden="0" customHeight="1">
      <x:c r="A34" s="90"/>
      <x:c r="B34" s="106" t="str">
        <x:v>Model assumptions include cash-flow timing, debt refinancing, market inputs and peer multiples. A calculation PASS confirms that the schedules reconcile.</x:v>
      </x:c>
      <x:c r="C34" s="106"/>
      <x:c r="D34" s="106"/>
      <x:c r="E34" s="106"/>
      <x:c r="F34" s="106"/>
      <x:c r="G34" s="106"/>
      <x:c r="H34" s="106"/>
      <x:c r="I34" s="106"/>
      <x:c r="J34" s="106"/>
    </x:row>
    <x:row r="35" ht="21" hidden="0" customHeight="1">
      <x:c r="A35" s="90"/>
      <x:c r="B35" s="106"/>
      <x:c r="C35" s="106"/>
      <x:c r="D35" s="106"/>
      <x:c r="E35" s="106"/>
      <x:c r="F35" s="106"/>
      <x:c r="G35" s="106"/>
      <x:c r="H35" s="106"/>
      <x:c r="I35" s="106"/>
      <x:c r="J35" s="106"/>
    </x:row>
    <x:row r="36" ht="21" hidden="0" customHeight="1">
      <x:c r="A36" s="90"/>
      <x:c r="B36" s="106"/>
      <x:c r="C36" s="106"/>
      <x:c r="D36" s="106"/>
      <x:c r="E36" s="106"/>
      <x:c r="F36" s="106"/>
      <x:c r="G36" s="106"/>
      <x:c r="H36" s="106"/>
      <x:c r="I36" s="106"/>
      <x:c r="J36" s="106"/>
    </x:row>
    <x:row r="37" ht="21" hidden="0" customHeight="1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</x:row>
    <x:row r="38" ht="21" hidden="0" customHeight="1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</x:row>
    <x:row r="39" ht="21" hidden="0" customHeight="1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</x:row>
    <x:row r="40" ht="21" hidden="0" customHeight="1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</x:row>
    <x:row r="41" ht="21" hidden="0" customHeight="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</x:row>
    <x:row r="42" ht="21" hidden="0" customHeight="1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</x:row>
    <x:row r="43" ht="21" hidden="0" customHeight="1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</x:row>
    <x:row r="44" ht="21" hidden="0" customHeight="1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</x:row>
    <x:row r="45" ht="21" hidden="0" customHeight="1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</x:row>
    <x:row r="46" ht="21" hidden="0" customHeight="1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</x:row>
    <x:row r="47" ht="21" hidden="0" customHeight="1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</x:row>
    <x:row r="48" ht="21" hidden="0" customHeight="1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</x:row>
    <x:row r="49" ht="21" hidden="0" customHeight="1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</x:row>
    <x:row r="50" ht="21" hidden="0" customHeight="1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</x:row>
    <x:row r="51" ht="21" customHeight="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</x:row>
    <x:row r="52" ht="21" customHeight="1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</x:row>
    <x:row r="53" ht="21" customHeight="1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</x:row>
    <x:row r="54" ht="21" customHeight="1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</x:row>
    <x:row r="55" ht="21" customHeight="1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</x:row>
    <x:row r="56" ht="21" customHeight="1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</x:row>
    <x:row r="57" ht="21" customHeight="1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</x:row>
    <x:row r="58" ht="21" customHeight="1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</x:row>
    <x:row r="59" ht="21" customHeight="1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</x:row>
  </x:sheetData>
  <x:mergeCells>
    <x:mergeCell ref="A1:J1"/>
    <x:mergeCell ref="A2:J3"/>
    <x:mergeCell ref="B34:J36"/>
  </x:mergeCells>
  <x:conditionalFormatting sqref="F6:F30">
    <x:cfRule type="containsText" dxfId="0" priority="1" operator="containsText" text="FAIL"/>
  </x:conditionalFormatting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" hidden="0" customWidth="1"/>
    <x:col min="2" max="2" width="46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2" customHeight="1">
      <x:c r="A1" s="92" t="str">
        <x:v>ZIFF DAVIS | SOURCE INPUTS</x:v>
      </x:c>
      <x:c r="B1" s="92"/>
      <x:c r="C1" s="92"/>
      <x:c r="D1" s="92"/>
      <x:c r="E1" s="92"/>
      <x:c r="F1" s="92"/>
      <x:c r="G1" s="92"/>
      <x:c r="H1" s="92"/>
      <x:c r="I1" s="92"/>
      <x:c r="J1" s="92"/>
    </x:row>
    <x:row r="2" ht="21" customHeight="1">
      <x:c r="A2" s="94" t="str">
        <x:v>US$ millions except shares and per-share amounts. Balance sheet and continuing earnings: June 30, 2026.</x:v>
      </x:c>
      <x:c r="B2" s="94"/>
      <x:c r="C2" s="94"/>
      <x:c r="D2" s="94"/>
      <x:c r="E2" s="94"/>
      <x:c r="F2" s="94"/>
      <x:c r="G2" s="94"/>
      <x:c r="H2" s="94"/>
      <x:c r="I2" s="94"/>
      <x:c r="J2" s="94"/>
    </x:row>
    <x:row r="3" ht="21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</x:row>
    <x:row r="4" ht="21" customHeight="1">
      <x:c r="A4" s="90"/>
      <x:c r="B4" s="90"/>
      <x:c r="C4" s="90"/>
      <x:c r="D4" s="90"/>
      <x:c r="E4" s="90"/>
      <x:c r="F4" s="90"/>
      <x:c r="G4" s="90"/>
      <x:c r="H4" s="90"/>
      <x:c r="I4" s="90"/>
      <x:c r="J4" s="90"/>
    </x:row>
    <x:row r="5" ht="27" customHeight="1">
      <x:c r="A5" s="90"/>
      <x:c r="B5" s="90" t="str">
        <x:v>Valuation date</x:v>
      </x:c>
      <x:c r="C5" s="95" t="n">
        <x:v>46269</x:v>
      </x:c>
      <x:c r="D5" s="96" t="str">
        <x:v>Date convention</x:v>
      </x:c>
      <x:c r="E5" s="96"/>
      <x:c r="F5" s="96"/>
      <x:c r="G5" s="96"/>
      <x:c r="H5" s="96"/>
      <x:c r="I5" s="96"/>
      <x:c r="J5" s="96"/>
    </x:row>
    <x:row r="6" ht="27" customHeight="1">
      <x:c r="A6" s="90"/>
      <x:c r="B6" s="90" t="str">
        <x:v>Opening balance date</x:v>
      </x:c>
      <x:c r="C6" s="95" t="n">
        <x:v>46203</x:v>
      </x:c>
      <x:c r="D6" s="96" t="str">
        <x:v>Q2 report</x:v>
      </x:c>
      <x:c r="E6" s="96"/>
      <x:c r="F6" s="96"/>
      <x:c r="G6" s="96"/>
      <x:c r="H6" s="96"/>
      <x:c r="I6" s="96"/>
      <x:c r="J6" s="96"/>
    </x:row>
    <x:row r="7" ht="27" customHeight="1">
      <x:c r="A7" s="90"/>
      <x:c r="B7" s="90" t="str">
        <x:v>Share price</x:v>
      </x:c>
      <x:c r="C7" s="99" t="n">
        <x:v>55.7</x:v>
      </x:c>
      <x:c r="D7" s="96" t="str">
        <x:v>Assumption: September 4 snapshot</x:v>
      </x:c>
      <x:c r="E7" s="96"/>
      <x:c r="F7" s="96"/>
      <x:c r="G7" s="96"/>
      <x:c r="H7" s="96"/>
      <x:c r="I7" s="96"/>
      <x:c r="J7" s="96"/>
    </x:row>
    <x:row r="8" ht="27" customHeight="1">
      <x:c r="A8" s="90"/>
      <x:c r="B8" s="90" t="str">
        <x:v>Diluted shares (millions)</x:v>
      </x:c>
      <x:c r="C8" s="102" t="n">
        <x:v>34.3</x:v>
      </x:c>
      <x:c r="D8" s="96" t="str">
        <x:v>Assumption: valuation-date denominator</x:v>
      </x:c>
      <x:c r="E8" s="96"/>
      <x:c r="F8" s="96"/>
      <x:c r="G8" s="96"/>
      <x:c r="H8" s="96"/>
      <x:c r="I8" s="96"/>
      <x:c r="J8" s="96"/>
    </x:row>
    <x:row r="9" ht="27" customHeight="1">
      <x:c r="A9" s="90"/>
      <x:c r="B9" s="90" t="str">
        <x:v>Cash and equivalents</x:v>
      </x:c>
      <x:c r="C9" s="100" t="n">
        <x:v>1606.112</x:v>
      </x:c>
      <x:c r="D9" s="96" t="str">
        <x:v>Q2 balance sheet</x:v>
      </x:c>
      <x:c r="E9" s="96"/>
      <x:c r="F9" s="96"/>
      <x:c r="G9" s="96"/>
      <x:c r="H9" s="96"/>
      <x:c r="I9" s="96"/>
      <x:c r="J9" s="96"/>
    </x:row>
    <x:row r="10" ht="27" customHeight="1">
      <x:c r="A10" s="90"/>
      <x:c r="B10" s="90" t="str">
        <x:v>Current funded debt</x:v>
      </x:c>
      <x:c r="C10" s="100" t="n">
        <x:v>148.937</x:v>
      </x:c>
      <x:c r="D10" s="96" t="str">
        <x:v>Q2 carrying amount</x:v>
      </x:c>
      <x:c r="E10" s="96"/>
      <x:c r="F10" s="96"/>
      <x:c r="G10" s="96"/>
      <x:c r="H10" s="96"/>
      <x:c r="I10" s="96"/>
      <x:c r="J10" s="96"/>
    </x:row>
    <x:row r="11" ht="27" customHeight="1">
      <x:c r="A11" s="90"/>
      <x:c r="B11" s="90" t="str">
        <x:v>Long-term funded debt</x:v>
      </x:c>
      <x:c r="C11" s="100" t="n">
        <x:v>718.703</x:v>
      </x:c>
      <x:c r="D11" s="96" t="str">
        <x:v>Q2 carrying amount</x:v>
      </x:c>
      <x:c r="E11" s="96"/>
      <x:c r="F11" s="96"/>
      <x:c r="G11" s="96"/>
      <x:c r="H11" s="96"/>
      <x:c r="I11" s="96"/>
      <x:c r="J11" s="96"/>
    </x:row>
    <x:row r="12" ht="27" customHeight="1">
      <x:c r="A12" s="90"/>
      <x:c r="B12" s="90" t="str">
        <x:v>Debt principal adjustment</x:v>
      </x:c>
      <x:c r="C12" s="102" t="n">
        <x:v>26.86</x:v>
      </x:c>
      <x:c r="D12" s="96" t="str">
        <x:v>Assumption: principal above carrying value</x:v>
      </x:c>
      <x:c r="E12" s="96"/>
      <x:c r="F12" s="96"/>
      <x:c r="G12" s="96"/>
      <x:c r="H12" s="96"/>
      <x:c r="I12" s="96"/>
      <x:c r="J12" s="96"/>
    </x:row>
    <x:row r="13" ht="27" customHeight="1">
      <x:c r="A13" s="90"/>
      <x:c r="B13" s="90" t="str">
        <x:v>Minimum operating cash</x:v>
      </x:c>
      <x:c r="C13" s="102" t="n">
        <x:v>100</x:v>
      </x:c>
      <x:c r="D13" s="96" t="str">
        <x:v>Assumption</x:v>
      </x:c>
      <x:c r="E13" s="96"/>
      <x:c r="F13" s="96"/>
      <x:c r="G13" s="96"/>
      <x:c r="H13" s="96"/>
      <x:c r="I13" s="96"/>
      <x:c r="J13" s="96"/>
    </x:row>
    <x:row r="14" ht="27" customHeight="1">
      <x:c r="A14" s="90"/>
      <x:c r="B14" s="90" t="str">
        <x:v>Current tax liability reserved</x:v>
      </x:c>
      <x:c r="C14" s="100" t="n">
        <x:v>185.637</x:v>
      </x:c>
      <x:c r="D14" s="96" t="str">
        <x:v>Q2; reserved from excess cash</x:v>
      </x:c>
      <x:c r="E14" s="96"/>
      <x:c r="F14" s="96"/>
      <x:c r="G14" s="96"/>
      <x:c r="H14" s="96"/>
      <x:c r="I14" s="96"/>
      <x:c r="J14" s="96"/>
    </x:row>
    <x:row r="15" ht="27" customHeight="1">
      <x:c r="A15" s="90"/>
      <x:c r="B15" s="90" t="str">
        <x:v>Other asset value credited</x:v>
      </x:c>
      <x:c r="C15" s="102" t="n">
        <x:v>0</x:v>
      </x:c>
      <x:c r="D15" s="96" t="str">
        <x:v>Assumption; no separate value for investments or escrow</x:v>
      </x:c>
      <x:c r="E15" s="96"/>
      <x:c r="F15" s="96"/>
      <x:c r="G15" s="96"/>
      <x:c r="H15" s="96"/>
      <x:c r="I15" s="96"/>
      <x:c r="J15" s="96"/>
    </x:row>
    <x:row r="16" ht="27" customHeight="1">
      <x:c r="A16" s="90"/>
      <x:c r="B16" s="90" t="str">
        <x:v>Operating current assets</x:v>
      </x:c>
      <x:c r="C16" s="100" t="n">
        <x:v>478.65</x:v>
      </x:c>
      <x:c r="D16" s="96" t="str">
        <x:v>Q2 receivables plus prepayments</x:v>
      </x:c>
      <x:c r="E16" s="96"/>
      <x:c r="F16" s="96"/>
      <x:c r="G16" s="96"/>
      <x:c r="H16" s="96"/>
      <x:c r="I16" s="96"/>
      <x:c r="J16" s="96"/>
    </x:row>
    <x:row r="17" ht="27" customHeight="1">
      <x:c r="A17" s="90"/>
      <x:c r="B17" s="90" t="str">
        <x:v>Operating current liabilities</x:v>
      </x:c>
      <x:c r="C17" s="100" t="n">
        <x:v>628.756</x:v>
      </x:c>
      <x:c r="D17" s="96" t="str">
        <x:v>Q2 payables, deferred revenue and other current liabilities</x:v>
      </x:c>
      <x:c r="E17" s="96"/>
      <x:c r="F17" s="96"/>
      <x:c r="G17" s="96"/>
      <x:c r="H17" s="96"/>
      <x:c r="I17" s="96"/>
      <x:c r="J17" s="96"/>
    </x:row>
    <x:row r="18" ht="27" customHeight="1">
      <x:c r="A18" s="90"/>
      <x:c r="B18" s="90" t="str">
        <x:v>PP&amp;E, net</x:v>
      </x:c>
      <x:c r="C18" s="100" t="n">
        <x:v>171.481</x:v>
      </x:c>
      <x:c r="D18" s="96" t="str">
        <x:v>Q2 balance sheet</x:v>
      </x:c>
      <x:c r="E18" s="96"/>
      <x:c r="F18" s="96"/>
      <x:c r="G18" s="96"/>
      <x:c r="H18" s="96"/>
      <x:c r="I18" s="96"/>
      <x:c r="J18" s="96"/>
    </x:row>
    <x:row r="19" ht="27" customHeight="1">
      <x:c r="A19" s="90"/>
      <x:c r="B19" s="90" t="str">
        <x:v>Acquired intangibles</x:v>
      </x:c>
      <x:c r="C19" s="100" t="n">
        <x:v>293.773</x:v>
      </x:c>
      <x:c r="D19" s="96" t="str">
        <x:v>Q2 balance sheet</x:v>
      </x:c>
      <x:c r="E19" s="96"/>
      <x:c r="F19" s="96"/>
      <x:c r="G19" s="96"/>
      <x:c r="H19" s="96"/>
      <x:c r="I19" s="96"/>
      <x:c r="J19" s="96"/>
    </x:row>
    <x:row r="20" ht="27" customHeight="1">
      <x:c r="A20" s="90"/>
      <x:c r="B20" s="90" t="str">
        <x:v>Goodwill</x:v>
      </x:c>
      <x:c r="C20" s="100" t="n">
        <x:v>1291.002</x:v>
      </x:c>
      <x:c r="D20" s="96" t="str">
        <x:v>Q2 balance sheet</x:v>
      </x:c>
      <x:c r="E20" s="96"/>
      <x:c r="F20" s="96"/>
      <x:c r="G20" s="96"/>
      <x:c r="H20" s="96"/>
      <x:c r="I20" s="96"/>
      <x:c r="J20" s="96"/>
    </x:row>
    <x:row r="21" ht="27" customHeight="1">
      <x:c r="A21" s="90"/>
      <x:c r="B21" s="90" t="str">
        <x:v>Other long-term assets</x:v>
      </x:c>
      <x:c r="C21" s="100" t="n">
        <x:v>157.009</x:v>
      </x:c>
      <x:c r="D21" s="96" t="str">
        <x:v>Q2 investments, deferred tax and other assets</x:v>
      </x:c>
      <x:c r="E21" s="96"/>
      <x:c r="F21" s="96"/>
      <x:c r="G21" s="96"/>
      <x:c r="H21" s="96"/>
      <x:c r="I21" s="96"/>
      <x:c r="J21" s="96"/>
    </x:row>
    <x:row r="22" ht="27" customHeight="1">
      <x:c r="A22" s="90"/>
      <x:c r="B22" s="90" t="str">
        <x:v>Other long-term liabilities</x:v>
      </x:c>
      <x:c r="C22" s="100" t="n">
        <x:v>78.536</x:v>
      </x:c>
      <x:c r="D22" s="96" t="str">
        <x:v>Q2 noncurrent deferred revenue, tax and other liabilities</x:v>
      </x:c>
      <x:c r="E22" s="96"/>
      <x:c r="F22" s="96"/>
      <x:c r="G22" s="96"/>
      <x:c r="H22" s="96"/>
      <x:c r="I22" s="96"/>
      <x:c r="J22" s="96"/>
    </x:row>
    <x:row r="23" ht="27" customHeight="1">
      <x:c r="A23" s="90"/>
      <x:c r="B23" s="90" t="str">
        <x:v>Opening equity</x:v>
      </x:c>
      <x:c r="C23" s="100" t="n">
        <x:v>2237.458</x:v>
      </x:c>
      <x:c r="D23" s="96" t="str">
        <x:v>Q2 balance sheet</x:v>
      </x:c>
      <x:c r="E23" s="96"/>
      <x:c r="F23" s="96"/>
      <x:c r="G23" s="96"/>
      <x:c r="H23" s="96"/>
      <x:c r="I23" s="96"/>
      <x:c r="J23" s="96"/>
    </x:row>
    <x:row r="24" ht="27" customHeight="1">
      <x:c r="A24" s="90"/>
      <x:c r="B24" s="90" t="str">
        <x:v>Total assets</x:v>
      </x:c>
      <x:c r="C24" s="100" t="n">
        <x:v>3998.027</x:v>
      </x:c>
      <x:c r="D24" s="96" t="str">
        <x:v>Q2 balance sheet</x:v>
      </x:c>
      <x:c r="E24" s="96"/>
      <x:c r="F24" s="96"/>
      <x:c r="G24" s="96"/>
      <x:c r="H24" s="96"/>
      <x:c r="I24" s="96"/>
      <x:c r="J24" s="96"/>
    </x:row>
    <x:row r="25" ht="27" customHeight="1">
      <x:c r="A25" s="90"/>
      <x:c r="B25" s="90" t="str">
        <x:v>H1 continuing revenue</x:v>
      </x:c>
      <x:c r="C25" s="100" t="n">
        <x:v>554.379</x:v>
      </x:c>
      <x:c r="D25" s="96" t="str">
        <x:v>Q2 income statement</x:v>
      </x:c>
      <x:c r="E25" s="96"/>
      <x:c r="F25" s="96"/>
      <x:c r="G25" s="96"/>
      <x:c r="H25" s="96"/>
      <x:c r="I25" s="96"/>
      <x:c r="J25" s="96"/>
    </x:row>
    <x:row r="26" ht="27" customHeight="1">
      <x:c r="A26" s="90"/>
      <x:c r="B26" s="90" t="str">
        <x:v>H1 adjusted EBITDA</x:v>
      </x:c>
      <x:c r="C26" s="100" t="n">
        <x:v>140.201</x:v>
      </x:c>
      <x:c r="D26" s="96" t="str">
        <x:v>Q2 reconciliation; adds back SBC and special costs</x:v>
      </x:c>
      <x:c r="E26" s="96"/>
      <x:c r="F26" s="96"/>
      <x:c r="G26" s="96"/>
      <x:c r="H26" s="96"/>
      <x:c r="I26" s="96"/>
      <x:c r="J26" s="96"/>
    </x:row>
    <x:row r="27" ht="27" customHeight="1">
      <x:c r="A27" s="90"/>
      <x:c r="B27" s="90" t="str">
        <x:v>H1 continuing GAAP EBIT</x:v>
      </x:c>
      <x:c r="C27" s="100" t="n">
        <x:v>-41.791</x:v>
      </x:c>
      <x:c r="D27" s="96" t="str">
        <x:v>Q2 income statement</x:v>
      </x:c>
      <x:c r="E27" s="96"/>
      <x:c r="F27" s="96"/>
      <x:c r="G27" s="96"/>
      <x:c r="H27" s="96"/>
      <x:c r="I27" s="96"/>
      <x:c r="J27" s="96"/>
    </x:row>
    <x:row r="28" ht="27" customHeight="1">
      <x:c r="A28" s="90"/>
      <x:c r="B28" s="90" t="str">
        <x:v>H1 continuing D&amp;A</x:v>
      </x:c>
      <x:c r="C28" s="100" t="n">
        <x:v>91.752</x:v>
      </x:c>
      <x:c r="D28" s="96" t="str">
        <x:v>Q2 income statement</x:v>
      </x:c>
      <x:c r="E28" s="96"/>
      <x:c r="F28" s="96"/>
      <x:c r="G28" s="96"/>
      <x:c r="H28" s="96"/>
      <x:c r="I28" s="96"/>
      <x:c r="J28" s="96"/>
    </x:row>
    <x:row r="29" ht="27" customHeight="1">
      <x:c r="A29" s="90"/>
      <x:c r="B29" s="90" t="str">
        <x:v>H1 continuing SBC</x:v>
      </x:c>
      <x:c r="C29" s="100" t="n">
        <x:v>20.068</x:v>
      </x:c>
      <x:c r="D29" s="96" t="str">
        <x:v>Q2 adjusted EBITDA reconciliation</x:v>
      </x:c>
      <x:c r="E29" s="96"/>
      <x:c r="F29" s="96"/>
      <x:c r="G29" s="96"/>
      <x:c r="H29" s="96"/>
      <x:c r="I29" s="96"/>
      <x:c r="J29" s="96"/>
    </x:row>
    <x:row r="30" ht="27" customHeight="1">
      <x:c r="A30" s="90"/>
      <x:c r="B30" s="90" t="str">
        <x:v>H1 continuing transaction costs</x:v>
      </x:c>
      <x:c r="C30" s="100" t="n">
        <x:v>11.724</x:v>
      </x:c>
      <x:c r="D30" s="96" t="str">
        <x:v>Q2 adjusted EBITDA reconciliation</x:v>
      </x:c>
      <x:c r="E30" s="96"/>
      <x:c r="F30" s="96"/>
      <x:c r="G30" s="96"/>
      <x:c r="H30" s="96"/>
      <x:c r="I30" s="96"/>
      <x:c r="J30" s="96"/>
    </x:row>
    <x:row r="31" ht="27" customHeight="1">
      <x:c r="A31" s="90"/>
      <x:c r="B31" s="90" t="str">
        <x:v>H1 combined operating cash flow</x:v>
      </x:c>
      <x:c r="C31" s="100" t="n">
        <x:v>118.916</x:v>
      </x:c>
      <x:c r="D31" s="96" t="str">
        <x:v>Continuing + discontinued operations</x:v>
      </x:c>
      <x:c r="E31" s="96"/>
      <x:c r="F31" s="96"/>
      <x:c r="G31" s="96"/>
      <x:c r="H31" s="96"/>
      <x:c r="I31" s="96"/>
      <x:c r="J31" s="96"/>
    </x:row>
    <x:row r="32" ht="27" customHeight="1">
      <x:c r="A32" s="90"/>
      <x:c r="B32" s="90" t="str">
        <x:v>H1 combined capital expenditure</x:v>
      </x:c>
      <x:c r="C32" s="100" t="n">
        <x:v>68.126</x:v>
      </x:c>
      <x:c r="D32" s="96" t="str">
        <x:v>Continuing + discontinued operations</x:v>
      </x:c>
      <x:c r="E32" s="96"/>
      <x:c r="F32" s="96"/>
      <x:c r="G32" s="96"/>
      <x:c r="H32" s="96"/>
      <x:c r="I32" s="96"/>
      <x:c r="J32" s="96"/>
    </x:row>
    <x:row r="33" ht="27" customHeight="1">
      <x:c r="A33" s="90"/>
      <x:c r="B33" s="90" t="str">
        <x:v>Net divestiture cash received</x:v>
      </x:c>
      <x:c r="C33" s="100" t="n">
        <x:v>1134.081</x:v>
      </x:c>
      <x:c r="D33" s="96" t="str">
        <x:v>Already included in closing cash; not added again</x:v>
      </x:c>
      <x:c r="E33" s="96"/>
      <x:c r="F33" s="96"/>
      <x:c r="G33" s="96"/>
      <x:c r="H33" s="96"/>
      <x:c r="I33" s="96"/>
      <x:c r="J33" s="96"/>
    </x:row>
    <x:row r="34" ht="27" customHeight="1">
      <x:c r="A34" s="90"/>
      <x:c r="B34" s="90" t="str">
        <x:v>Prior H1 continuing revenue</x:v>
      </x:c>
      <x:c r="C34" s="100" t="n">
        <x:v>567.619</x:v>
      </x:c>
      <x:c r="D34" s="96" t="str">
        <x:v>Q2 restated comparison</x:v>
      </x:c>
      <x:c r="E34" s="96"/>
      <x:c r="F34" s="96"/>
      <x:c r="G34" s="96"/>
      <x:c r="H34" s="96"/>
      <x:c r="I34" s="96"/>
      <x:c r="J34" s="96"/>
    </x:row>
    <x:row r="35" ht="27" customHeight="1">
      <x:c r="A35" s="90"/>
      <x:c r="B35" s="90" t="str">
        <x:v>Prior H1 adjusted EBITDA</x:v>
      </x:c>
      <x:c r="C35" s="100" t="n">
        <x:v>151.166</x:v>
      </x:c>
      <x:c r="D35" s="96" t="str">
        <x:v>Q2 restated comparison</x:v>
      </x:c>
      <x:c r="E35" s="96"/>
      <x:c r="F35" s="96"/>
      <x:c r="G35" s="96"/>
      <x:c r="H35" s="96"/>
      <x:c r="I35" s="96"/>
      <x:c r="J35" s="96"/>
    </x:row>
    <x:row r="36" ht="27" customHeight="1">
      <x:c r="A36" s="90"/>
      <x:c r="B36" s="90" t="str">
        <x:v>Continuing Q2 diluted average shares</x:v>
      </x:c>
      <x:c r="C36" s="100" t="n">
        <x:v>36.381271</x:v>
      </x:c>
      <x:c r="D36" s="96" t="str">
        <x:v>Q2; reference only, not the spot denominator</x:v>
      </x:c>
      <x:c r="E36" s="96"/>
      <x:c r="F36" s="96"/>
      <x:c r="G36" s="96"/>
      <x:c r="H36" s="96"/>
      <x:c r="I36" s="96"/>
      <x:c r="J36" s="96"/>
    </x:row>
    <x:row r="37" ht="27" customHeight="1">
      <x:c r="A37" s="90"/>
      <x:c r="B37" s="90" t="str">
        <x:v>Basic shares for market equity</x:v>
      </x:c>
      <x:c r="C37" s="102" t="n">
        <x:v>34.3</x:v>
      </x:c>
      <x:c r="D37" s="96" t="str">
        <x:v>Assumption: spot basic shares for WACC</x:v>
      </x:c>
      <x:c r="E37" s="96"/>
      <x:c r="F37" s="96"/>
      <x:c r="G37" s="96"/>
      <x:c r="H37" s="96"/>
      <x:c r="I37" s="96"/>
      <x:c r="J37" s="96"/>
    </x:row>
    <x:row r="38" ht="21" customHeight="1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</x:row>
    <x:row r="39" ht="25" customHeight="1">
      <x:c r="A39" s="90"/>
      <x:c r="B39" s="105" t="str">
        <x:v>Capital bridge</x:v>
      </x:c>
      <x:c r="C39" s="105"/>
      <x:c r="D39" s="105"/>
      <x:c r="E39" s="105"/>
      <x:c r="F39" s="105"/>
      <x:c r="G39" s="105"/>
      <x:c r="H39" s="105"/>
      <x:c r="I39" s="105"/>
      <x:c r="J39" s="105"/>
    </x:row>
    <x:row r="40" ht="21" customHeight="1">
      <x:c r="A40" s="90"/>
      <x:c r="B40" s="90" t="str">
        <x:v>Funded debt: carrying amount</x:v>
      </x:c>
      <x:c r="C40" s="100" t="n">
        <x:f>C10+C11</x:f>
        <x:v>867.64</x:v>
      </x:c>
      <x:c r="D40" s="90"/>
      <x:c r="E40" s="90"/>
      <x:c r="F40" s="90"/>
      <x:c r="G40" s="90"/>
      <x:c r="H40" s="90"/>
      <x:c r="I40" s="90"/>
      <x:c r="J40" s="90"/>
    </x:row>
    <x:row r="41" ht="21" customHeight="1">
      <x:c r="A41" s="90"/>
      <x:c r="B41" s="90" t="str">
        <x:v>Funded debt: assumed principal</x:v>
      </x:c>
      <x:c r="C41" s="100" t="n">
        <x:f>C40+C12</x:f>
        <x:v>894.5</x:v>
      </x:c>
      <x:c r="D41" s="90"/>
      <x:c r="E41" s="90"/>
      <x:c r="F41" s="90"/>
      <x:c r="G41" s="90"/>
      <x:c r="H41" s="90"/>
      <x:c r="I41" s="90"/>
      <x:c r="J41" s="90"/>
    </x:row>
    <x:row r="42" ht="21" customHeight="1">
      <x:c r="A42" s="90"/>
      <x:c r="B42" s="90" t="str">
        <x:v>Excess cash after reserve and tax</x:v>
      </x:c>
      <x:c r="C42" s="100" t="n">
        <x:f>MAX(0,C9-C13-C14)</x:f>
        <x:v>1320.4750000000001</x:v>
      </x:c>
      <x:c r="D42" s="90"/>
      <x:c r="E42" s="90"/>
      <x:c r="F42" s="90"/>
      <x:c r="G42" s="90"/>
      <x:c r="H42" s="90"/>
      <x:c r="I42" s="90"/>
      <x:c r="J42" s="90"/>
    </x:row>
    <x:row r="43" ht="21" customHeight="1">
      <x:c r="A43" s="90"/>
      <x:c r="B43" s="90" t="str">
        <x:v>Net cash credited to equity</x:v>
      </x:c>
      <x:c r="C43" s="100" t="n">
        <x:f>C42-C41</x:f>
        <x:v>425.97500000000014</x:v>
      </x:c>
      <x:c r="D43" s="90"/>
      <x:c r="E43" s="90"/>
      <x:c r="F43" s="90"/>
      <x:c r="G43" s="90"/>
      <x:c r="H43" s="90"/>
      <x:c r="I43" s="90"/>
      <x:c r="J43" s="90"/>
    </x:row>
    <x:row r="44" ht="21" customHeight="1">
      <x:c r="A44" s="90"/>
      <x:c r="B44" s="90" t="str">
        <x:v>Opening asset reconstruction</x:v>
      </x:c>
      <x:c r="C44" s="100" t="n">
        <x:f>C9+C16+SUM(C18:C21)</x:f>
        <x:v>3998.027</x:v>
      </x:c>
      <x:c r="D44" s="90"/>
      <x:c r="E44" s="90"/>
      <x:c r="F44" s="90"/>
      <x:c r="G44" s="90"/>
      <x:c r="H44" s="90"/>
      <x:c r="I44" s="90"/>
      <x:c r="J44" s="90"/>
    </x:row>
    <x:row r="45" ht="21" customHeight="1">
      <x:c r="A45" s="90"/>
      <x:c r="B45" s="90" t="str">
        <x:v>Opening liabilities + equity</x:v>
      </x:c>
      <x:c r="C45" s="100" t="n">
        <x:f>C17+C14+C40+C22+C23</x:f>
        <x:v>3998.027</x:v>
      </x:c>
      <x:c r="D45" s="90"/>
      <x:c r="E45" s="90"/>
      <x:c r="F45" s="90"/>
      <x:c r="G45" s="90"/>
      <x:c r="H45" s="90"/>
      <x:c r="I45" s="90"/>
      <x:c r="J45" s="90"/>
    </x:row>
    <x:row r="46" ht="21" customHeight="1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</x:row>
    <x:row r="47" ht="21" customHeight="1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</x:row>
    <x:row r="48" ht="21" customHeight="1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</x:row>
    <x:row r="49" ht="21" customHeight="1">
      <x:c r="A49" s="90"/>
      <x:c r="B49" s="106" t="str">
        <x:v>Debt uses the reported carrying amount plus a $26.86m principal adjustment assumption. Current income taxes payable are reserved from excess cash. Forecast debt cash flows use the carrying balance; the principal adjustment is a valuation settlement adjustment.</x:v>
      </x:c>
      <x:c r="C49" s="106"/>
      <x:c r="D49" s="106"/>
      <x:c r="E49" s="106"/>
      <x:c r="F49" s="106"/>
      <x:c r="G49" s="106"/>
      <x:c r="H49" s="106"/>
      <x:c r="I49" s="106"/>
      <x:c r="J49" s="106"/>
    </x:row>
    <x:row r="50" ht="21" customHeight="1">
      <x:c r="A50" s="90"/>
      <x:c r="B50" s="106"/>
      <x:c r="C50" s="106"/>
      <x:c r="D50" s="106"/>
      <x:c r="E50" s="106"/>
      <x:c r="F50" s="106"/>
      <x:c r="G50" s="106"/>
      <x:c r="H50" s="106"/>
      <x:c r="I50" s="106"/>
      <x:c r="J50" s="106"/>
    </x:row>
    <x:row r="51" ht="21" customHeight="1">
      <x:c r="A51" s="90"/>
      <x:c r="B51" s="106"/>
      <x:c r="C51" s="106"/>
      <x:c r="D51" s="106"/>
      <x:c r="E51" s="106"/>
      <x:c r="F51" s="106"/>
      <x:c r="G51" s="106"/>
      <x:c r="H51" s="106"/>
      <x:c r="I51" s="106"/>
      <x:c r="J51" s="106"/>
    </x:row>
    <x:row r="52" ht="21" customHeight="1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</x:row>
    <x:row r="53" ht="21" customHeight="1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</x:row>
    <x:row r="54" ht="21" customHeight="1">
      <x:c r="A54" s="90"/>
      <x:c r="B54" s="106" t="str">
        <x:v>https://investor.ziffdavis.com/news/news-details/2026/Ziff-Davis-Reports-Second-Quarter-2026-Financial-Results/default.aspx</x:v>
      </x:c>
      <x:c r="C54" s="106"/>
      <x:c r="D54" s="106"/>
      <x:c r="E54" s="106"/>
      <x:c r="F54" s="106"/>
      <x:c r="G54" s="106"/>
      <x:c r="H54" s="106"/>
      <x:c r="I54" s="106"/>
      <x:c r="J54" s="106"/>
    </x:row>
    <x:row r="55" ht="21" customHeight="1">
      <x:c r="A55" s="90"/>
      <x:c r="B55" s="106"/>
      <x:c r="C55" s="106"/>
      <x:c r="D55" s="106"/>
      <x:c r="E55" s="106"/>
      <x:c r="F55" s="106"/>
      <x:c r="G55" s="106"/>
      <x:c r="H55" s="106"/>
      <x:c r="I55" s="106"/>
      <x:c r="J55" s="106"/>
    </x:row>
    <x:row r="56" ht="21" customHeight="1">
      <x:c r="A56" s="90"/>
      <x:c r="B56" s="106"/>
      <x:c r="C56" s="106"/>
      <x:c r="D56" s="106"/>
      <x:c r="E56" s="106"/>
      <x:c r="F56" s="106"/>
      <x:c r="G56" s="106"/>
      <x:c r="H56" s="106"/>
      <x:c r="I56" s="106"/>
      <x:c r="J56" s="106"/>
    </x:row>
    <x:row r="57" ht="21" customHeight="1">
      <x:c r="A57" s="90"/>
      <x:c r="B57" s="106"/>
      <x:c r="C57" s="106"/>
      <x:c r="D57" s="106"/>
      <x:c r="E57" s="106"/>
      <x:c r="F57" s="106"/>
      <x:c r="G57" s="106"/>
      <x:c r="H57" s="106"/>
      <x:c r="I57" s="106"/>
      <x:c r="J57" s="106"/>
    </x:row>
    <x:row r="58" ht="21" customHeight="1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</x:row>
    <x:row r="59" ht="21" customHeight="1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</x:row>
    <x:row r="60" ht="21" customHeight="1">
      <x:c r="A60" s="90"/>
      <x:c r="B60" s="106" t="str">
        <x:v>https://investor.ziffdavis.com/news/news-details/2026/Ziff-Davis-Reports-Fourth-Quarter-and-Full-Year-2025-Financial-Results/default.aspx</x:v>
      </x:c>
      <x:c r="C60" s="106"/>
      <x:c r="D60" s="106"/>
      <x:c r="E60" s="106"/>
      <x:c r="F60" s="106"/>
      <x:c r="G60" s="106"/>
      <x:c r="H60" s="106"/>
      <x:c r="I60" s="106"/>
      <x:c r="J60" s="106"/>
    </x:row>
    <x:row r="61" ht="21" customHeight="1">
      <x:c r="A61" s="90"/>
      <x:c r="B61" s="106"/>
      <x:c r="C61" s="106"/>
      <x:c r="D61" s="106"/>
      <x:c r="E61" s="106"/>
      <x:c r="F61" s="106"/>
      <x:c r="G61" s="106"/>
      <x:c r="H61" s="106"/>
      <x:c r="I61" s="106"/>
      <x:c r="J61" s="106"/>
    </x:row>
    <x:row r="62" ht="21" customHeight="1">
      <x:c r="A62" s="90"/>
      <x:c r="B62" s="106"/>
      <x:c r="C62" s="106"/>
      <x:c r="D62" s="106"/>
      <x:c r="E62" s="106"/>
      <x:c r="F62" s="106"/>
      <x:c r="G62" s="106"/>
      <x:c r="H62" s="106"/>
      <x:c r="I62" s="106"/>
      <x:c r="J62" s="106"/>
    </x:row>
    <x:row r="63" ht="21" customHeight="1">
      <x:c r="A63" s="90"/>
      <x:c r="B63" s="106"/>
      <x:c r="C63" s="106"/>
      <x:c r="D63" s="106"/>
      <x:c r="E63" s="106"/>
      <x:c r="F63" s="106"/>
      <x:c r="G63" s="106"/>
      <x:c r="H63" s="106"/>
      <x:c r="I63" s="106"/>
      <x:c r="J63" s="106"/>
    </x:row>
    <x:row r="64" ht="21" customHeight="1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</x:row>
    <x:row r="65" ht="21" customHeight="1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</x:row>
    <x:row r="66" ht="21" customHeight="1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</x:row>
    <x:row r="67" ht="21" customHeight="1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</x:row>
    <x:row r="68" ht="21" customHeight="1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</x:row>
    <x:row r="69" ht="21" customHeight="1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</x:row>
    <x:row r="70" ht="21" customHeight="1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</x:row>
    <x:row r="71" ht="21" customHeight="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</x:row>
    <x:row r="72" ht="21" customHeight="1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</x:row>
    <x:row r="73" ht="21" customHeight="1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</x:row>
    <x:row r="74" ht="21" customHeight="1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</x:row>
    <x:row r="75" ht="21" customHeight="1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</x:row>
    <x:row r="76" ht="21" customHeight="1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</x:row>
    <x:row r="77" ht="21" customHeight="1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</x:row>
    <x:row r="78" ht="21" customHeight="1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</x:row>
    <x:row r="79" ht="21" customHeight="1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</x:row>
    <x:row r="80" ht="21" customHeight="1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</x:row>
    <x:row r="81" ht="21" customHeight="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</x:row>
  </x:sheetData>
  <x:mergeCells>
    <x:mergeCell ref="A1:J1"/>
    <x:mergeCell ref="A2:J3"/>
    <x:mergeCell ref="D5:J5"/>
    <x:mergeCell ref="D6:J6"/>
    <x:mergeCell ref="D7:J7"/>
    <x:mergeCell ref="D8:J8"/>
    <x:mergeCell ref="D9:J9"/>
    <x:mergeCell ref="D10:J10"/>
    <x:mergeCell ref="D11:J11"/>
    <x:mergeCell ref="D12:J12"/>
    <x:mergeCell ref="D13:J13"/>
    <x:mergeCell ref="D14:J14"/>
    <x:mergeCell ref="D15:J15"/>
    <x:mergeCell ref="D16:J16"/>
    <x:mergeCell ref="D17:J17"/>
    <x:mergeCell ref="D18:J18"/>
    <x:mergeCell ref="D19:J19"/>
    <x:mergeCell ref="D20:J20"/>
    <x:mergeCell ref="D21:J21"/>
    <x:mergeCell ref="D22:J22"/>
    <x:mergeCell ref="D23:J23"/>
    <x:mergeCell ref="D24:J24"/>
    <x:mergeCell ref="D25:J25"/>
    <x:mergeCell ref="D26:J26"/>
    <x:mergeCell ref="D27:J27"/>
    <x:mergeCell ref="D28:J28"/>
    <x:mergeCell ref="D29:J29"/>
    <x:mergeCell ref="D30:J30"/>
    <x:mergeCell ref="D31:J31"/>
    <x:mergeCell ref="D32:J32"/>
    <x:mergeCell ref="D33:J33"/>
    <x:mergeCell ref="D34:J34"/>
    <x:mergeCell ref="D35:J35"/>
    <x:mergeCell ref="D36:J36"/>
    <x:mergeCell ref="D37:J37"/>
    <x:mergeCell ref="B39:J39"/>
    <x:mergeCell ref="B49:J51"/>
    <x:mergeCell ref="B54:J57"/>
    <x:mergeCell ref="B60:J63"/>
  </x:mergeCells>
  <x:pageMargins left="0.7" right="0.7" top="0.75" bottom="0.75" header="0.3" footer="0.3"/>
  <x:legacyDrawing xmlns:r="http://schemas.openxmlformats.org/officeDocument/2006/relationships" r:id="Rc9b354562ef446c4"/>
</x:worksheet>
</file>